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aHOrWD8N7SIX2dLUQYQ6kANzU2NHuPa/Gw2KCuYuzQkQTQFROLjLK/D9EEEwSYAHDQ/qJuj3TP5G85IOlLdw==" workbookSaltValue="lTcG+YCyufufQc4U7Ixv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H19" i="11"/>
  <c r="BF10" i="11"/>
  <c r="AZ19" i="11"/>
  <c r="S14" i="16"/>
  <c r="V12" i="21"/>
  <c r="P14" i="16"/>
  <c r="Z14" i="17"/>
  <c r="V18" i="16"/>
  <c r="M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BE9" i="8"/>
  <c r="E14" i="17"/>
  <c r="AH14" i="16"/>
  <c r="X10" i="21"/>
  <c r="V10" i="16"/>
  <c r="T14" i="20"/>
  <c r="X13" i="16"/>
  <c r="T20" i="17"/>
  <c r="BF16" i="13"/>
  <c r="BG16" i="13"/>
  <c r="BB20" i="13"/>
  <c r="BE17" i="13"/>
  <c r="BE16" i="13"/>
  <c r="BF17" i="13"/>
  <c r="K22" i="20"/>
  <c r="Y22" i="20"/>
  <c r="AC22" i="20"/>
  <c r="AA22" i="20"/>
  <c r="U12" i="11"/>
  <c r="AQ22" i="21"/>
  <c r="W22" i="20"/>
  <c r="U10" i="11"/>
  <c r="W22" i="21"/>
  <c r="AF22" i="20"/>
  <c r="U18" i="11"/>
  <c r="AL22" i="20"/>
  <c r="AE22" i="20"/>
  <c r="AG22" i="20"/>
  <c r="L22" i="20"/>
  <c r="M22" i="20"/>
  <c r="N22" i="20"/>
  <c r="U17" i="11"/>
  <c r="AQ22" i="20"/>
  <c r="G14" i="14"/>
  <c r="G20" i="12" l="1"/>
  <c r="AY20" i="8"/>
  <c r="AE21" i="8"/>
  <c r="D20" i="7"/>
  <c r="R21" i="8"/>
  <c r="BA14" i="8"/>
  <c r="BG10" i="8"/>
  <c r="AY14" i="8"/>
  <c r="N14" i="2"/>
  <c r="K20" i="2"/>
  <c r="L17" i="2"/>
  <c r="K16" i="7"/>
  <c r="F13" i="2"/>
  <c r="H12"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F11" i="16"/>
  <c r="BL11" i="16" s="1"/>
  <c r="X12" i="21"/>
  <c r="AP17" i="20"/>
  <c r="BH9" i="16"/>
  <c r="BM17" i="11"/>
  <c r="Q18" i="20"/>
  <c r="Q20" i="20" s="1"/>
  <c r="BF18"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BK14" i="11" s="1"/>
  <c r="S16" i="17"/>
  <c r="L12" i="2"/>
  <c r="X19" i="16"/>
  <c r="L18" i="2"/>
  <c r="L19" i="2"/>
  <c r="U9" i="17"/>
  <c r="U21" i="17" s="1"/>
  <c r="L9" i="2"/>
  <c r="V9" i="16"/>
  <c r="BL19" i="11"/>
  <c r="BL9" i="11"/>
  <c r="Q9" i="11" s="1"/>
  <c r="BK13" i="11"/>
  <c r="BH18" i="16"/>
  <c r="BG10" i="11"/>
  <c r="BH16" i="16"/>
  <c r="V11" i="16"/>
  <c r="S13" i="17"/>
  <c r="S12" i="14"/>
  <c r="V12"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BB22" i="16"/>
  <c r="K22" i="16"/>
  <c r="AA22" i="11"/>
  <c r="N22" i="11"/>
  <c r="AM22" i="17"/>
  <c r="BK22" i="16"/>
  <c r="AD22" i="16"/>
  <c r="X22" i="17"/>
  <c r="Z22" i="21"/>
  <c r="AK22" i="17"/>
  <c r="BE22" i="21"/>
  <c r="O22" i="21"/>
  <c r="AX22" i="16"/>
  <c r="H22" i="21"/>
  <c r="Y22" i="11"/>
  <c r="AJ22" i="11"/>
  <c r="AD22" i="21"/>
  <c r="AZ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<sst xmlns="http://schemas.openxmlformats.org/spreadsheetml/2006/main" count="2229" uniqueCount="979">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</sst>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pmAWlnYBoPnuMZfphKRkOaLn6izaH6VwKce8q8Mkaphsk3W+EJOcXVnEsmjfkLzK26fV8QKnfbRHIrbjYDgJQ==" saltValue="OIXxwQn9WWCpj56dtsGA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48.208695652173908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217</v>
      </c>
      <c r="D17" s="230">
        <f>IF(ISNUMBER(IF(D_I="SI",Datos!I17,Datos!I17+Datos!AC17)),IF(D_I="SI",Datos!I17,Datos!I17+Datos!AC17)," - ")</f>
        <v>217</v>
      </c>
      <c r="E17" s="231">
        <f>IF(ISNUMBER(IF(D_I="SI",Datos!J17,Datos!J17+Datos!AD17)),IF(D_I="SI",Datos!J17,Datos!J17+Datos!AD17)," - ")</f>
        <v>245</v>
      </c>
      <c r="F17" s="231">
        <f>IF(ISNUMBER(IF(D_I="SI",Datos!K17,Datos!K17+Datos!AE17)),IF(D_I="SI",Datos!K17,Datos!K17+Datos!AE17)," - ")</f>
        <v>173</v>
      </c>
      <c r="G17" s="1193" t="str">
        <f>IF(Datos!E17&lt;&gt;"",Datos!E17,Datos!D17)</f>
        <v>04</v>
      </c>
      <c r="H17" s="232">
        <f>IF(ISNUMBER(IF(D_I="SI",Datos!L17,Datos!L17+Datos!AF17)),IF(D_I="SI",Datos!L17,Datos!L17+Datos!AF17)," - ")</f>
        <v>289</v>
      </c>
      <c r="I17" s="1203" t="str">
        <f>IF(ISNUMBER(Datos!AS17/Datos!BM17),Datos!AS17/Datos!BM17," - ")</f>
        <v xml:space="preserve"> - </v>
      </c>
      <c r="J17" s="1204">
        <f>IF(ISNUMBER(Datos!BY17/Datos!CN17),Datos!BY17/Datos!CN17," - ")</f>
        <v>0</v>
      </c>
      <c r="K17" s="235">
        <f t="shared" si="3"/>
        <v>0.33179723502304148</v>
      </c>
      <c r="L17" s="1205">
        <f>IF(ISNUMBER(NºAsuntos!I17/NºAsuntos!G17),(NºAsuntos!I17/NºAsuntos!G17)*11," - ")</f>
        <v>18.375722543352602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9</v>
      </c>
      <c r="F18" s="231">
        <f>IF(ISNUMBER(IF(D_I="SI",Datos!K18,Datos!K18+Datos!AE18)),IF(D_I="SI",Datos!K18,Datos!K18+Datos!AE18)," - ")</f>
        <v>9</v>
      </c>
      <c r="G18" s="1193" t="str">
        <f>IF(Datos!E18&lt;&gt;"",Datos!E18,Datos!D18)</f>
        <v>37</v>
      </c>
      <c r="H18" s="232">
        <f>IF(ISNUMBER(IF(D_I="SI",Datos!L18,Datos!L18+Datos!AF18)),IF(D_I="SI",Datos!L18,Datos!L18+Datos!AF18)," - ")</f>
        <v>15</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18.333333333333336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232</v>
      </c>
      <c r="D20" s="1210">
        <f>SUBTOTAL(9,D16:D19)</f>
        <v>232</v>
      </c>
      <c r="E20" s="1211">
        <f>SUBTOTAL(9,E16:E19)</f>
        <v>254</v>
      </c>
      <c r="F20" s="1211">
        <f>SUBTOTAL(9,F16:F19)</f>
        <v>182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234</v>
      </c>
      <c r="D21" s="1232">
        <f>SUBTOTAL(9,D9:D20)</f>
        <v>234</v>
      </c>
      <c r="E21" s="1233">
        <f>SUBTOTAL(9,E9:E20)</f>
        <v>255</v>
      </c>
      <c r="F21" s="1233">
        <f>SUBTOTAL(9,F9:F20)</f>
        <v>182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TkvnAA1YSb27Q+M2TqCFVk4SFY5p30XLWpjCwgceqe8rO+p0FVGaQHxHDMaWN626cmxLZcg4RhbvPsTZuiJxQ==" saltValue="aXgHIzd9KET/IUFnYKgw1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TvMFYIqT2yK8DF1cnMRBNKCyYnVQVhaLAXeFy0Cz2Xv7KBrV+TEScTXegruhY0BcR47KOxdkYCa3b51pgnNQA==" saltValue="8OiCx1LJ73Ln+3nCExM5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0</v>
      </c>
      <c r="L10" s="186">
        <v>3</v>
      </c>
      <c r="M10" s="186">
        <v>0</v>
      </c>
      <c r="N10" s="186">
        <v>0</v>
      </c>
      <c r="O10" s="186">
        <v>0</v>
      </c>
      <c r="P10" s="186">
        <v>0</v>
      </c>
      <c r="Q10" s="186">
        <v>0</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537</v>
      </c>
      <c r="J12" s="188">
        <v>37</v>
      </c>
      <c r="K12" s="188">
        <v>87</v>
      </c>
      <c r="L12" s="188">
        <v>487</v>
      </c>
      <c r="M12" s="188">
        <v>29</v>
      </c>
      <c r="N12" s="188">
        <v>82</v>
      </c>
      <c r="O12" s="186">
        <v>0</v>
      </c>
      <c r="P12" s="188">
        <v>8</v>
      </c>
      <c r="Q12" s="188">
        <v>32</v>
      </c>
      <c r="R12" s="188">
        <v>962</v>
      </c>
      <c r="S12" s="188">
        <v>423</v>
      </c>
      <c r="T12" s="188">
        <v>114</v>
      </c>
      <c r="U12" s="188">
        <v>206</v>
      </c>
      <c r="V12" s="188">
        <v>331</v>
      </c>
      <c r="W12" s="188">
        <v>61</v>
      </c>
      <c r="X12" s="194">
        <v>90</v>
      </c>
      <c r="Y12" s="196">
        <v>21</v>
      </c>
      <c r="Z12" s="186">
        <v>24</v>
      </c>
      <c r="AA12" s="186">
        <v>28</v>
      </c>
      <c r="AB12" s="186">
        <v>17</v>
      </c>
      <c r="AC12" s="188">
        <v>0</v>
      </c>
      <c r="AD12" s="188">
        <v>0</v>
      </c>
      <c r="AE12" s="188">
        <v>0</v>
      </c>
      <c r="AF12" s="194">
        <v>0</v>
      </c>
      <c r="AG12" s="207">
        <v>25</v>
      </c>
      <c r="AH12" s="188">
        <v>28</v>
      </c>
      <c r="AI12" s="188">
        <v>26</v>
      </c>
      <c r="AJ12" s="208">
        <v>27</v>
      </c>
      <c r="AK12" s="187">
        <v>0</v>
      </c>
      <c r="AL12" s="188">
        <v>0</v>
      </c>
      <c r="AM12" s="188">
        <v>0</v>
      </c>
      <c r="AN12" s="194">
        <v>0</v>
      </c>
      <c r="AO12" s="264">
        <v>1</v>
      </c>
      <c r="AP12" s="160">
        <v>1</v>
      </c>
      <c r="AQ12" s="160">
        <v>1</v>
      </c>
      <c r="AR12" s="159">
        <v>1</v>
      </c>
      <c r="AS12" s="350" t="s">
        <v>874</v>
      </c>
      <c r="AT12" s="208"/>
      <c r="AU12" s="207"/>
      <c r="AV12" s="208"/>
      <c r="AW12" s="207"/>
      <c r="AX12" s="208"/>
      <c r="AY12" s="128">
        <f t="shared" si="1"/>
        <v>448</v>
      </c>
      <c r="AZ12" s="129">
        <f t="shared" si="1"/>
        <v>142</v>
      </c>
      <c r="BA12" s="129">
        <f t="shared" si="1"/>
        <v>232</v>
      </c>
      <c r="BB12" s="129">
        <f t="shared" si="1"/>
        <v>358</v>
      </c>
      <c r="BC12" s="127">
        <f>IF(ISNUMBER(X12),X12," - ")</f>
        <v>90</v>
      </c>
      <c r="BD12" s="128">
        <f t="shared" si="2"/>
        <v>1.6338028169014085</v>
      </c>
      <c r="BE12" s="129">
        <f t="shared" si="3"/>
        <v>1.5431034482758621</v>
      </c>
      <c r="BF12" s="129">
        <f t="shared" si="4"/>
        <v>0.38793103448275862</v>
      </c>
      <c r="BG12" s="201">
        <f t="shared" si="5"/>
        <v>2.5431034482758621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539</v>
      </c>
      <c r="J14" s="189">
        <f t="shared" si="7"/>
        <v>38</v>
      </c>
      <c r="K14" s="189">
        <f t="shared" si="7"/>
        <v>87</v>
      </c>
      <c r="L14" s="189">
        <f t="shared" si="7"/>
        <v>490</v>
      </c>
      <c r="M14" s="189">
        <f t="shared" si="7"/>
        <v>29</v>
      </c>
      <c r="N14" s="189">
        <f t="shared" si="7"/>
        <v>82</v>
      </c>
      <c r="O14" s="189">
        <f t="shared" si="7"/>
        <v>0</v>
      </c>
      <c r="P14" s="189">
        <f t="shared" si="7"/>
        <v>8</v>
      </c>
      <c r="Q14" s="189">
        <f t="shared" si="7"/>
        <v>32</v>
      </c>
      <c r="R14" s="189">
        <f t="shared" si="7"/>
        <v>962</v>
      </c>
      <c r="S14" s="189">
        <f t="shared" si="7"/>
        <v>424</v>
      </c>
      <c r="T14" s="189">
        <f t="shared" si="7"/>
        <v>115</v>
      </c>
      <c r="U14" s="189">
        <f t="shared" si="7"/>
        <v>207</v>
      </c>
      <c r="V14" s="189">
        <f t="shared" si="7"/>
        <v>332</v>
      </c>
      <c r="W14" s="189">
        <f t="shared" si="7"/>
        <v>62</v>
      </c>
      <c r="X14" s="189">
        <f t="shared" si="7"/>
        <v>90</v>
      </c>
      <c r="Y14" s="189">
        <f t="shared" si="7"/>
        <v>21</v>
      </c>
      <c r="Z14" s="189">
        <f t="shared" si="7"/>
        <v>24</v>
      </c>
      <c r="AA14" s="189">
        <f t="shared" si="7"/>
        <v>28</v>
      </c>
      <c r="AB14" s="189">
        <f t="shared" si="7"/>
        <v>17</v>
      </c>
      <c r="AC14" s="189">
        <f t="shared" si="7"/>
        <v>0</v>
      </c>
      <c r="AD14" s="189">
        <f t="shared" si="7"/>
        <v>0</v>
      </c>
      <c r="AE14" s="189">
        <f t="shared" si="7"/>
        <v>0</v>
      </c>
      <c r="AF14" s="189">
        <f>SUBTOTAL(9,AF9:AF13)</f>
        <v>0</v>
      </c>
      <c r="AG14" s="189">
        <f t="shared" ref="AG14:AT14" si="8">SUBTOTAL(9,AG8:AG13)</f>
        <v>25</v>
      </c>
      <c r="AH14" s="189">
        <f t="shared" si="8"/>
        <v>28</v>
      </c>
      <c r="AI14" s="189">
        <f t="shared" si="8"/>
        <v>26</v>
      </c>
      <c r="AJ14" s="189">
        <f t="shared" si="8"/>
        <v>27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449</v>
      </c>
      <c r="AZ14" s="189">
        <f>SUBTOTAL(9,AZ8:AZ13)</f>
        <v>143</v>
      </c>
      <c r="BA14" s="189">
        <f>SUBTOTAL(9,BA8:BA13)</f>
        <v>233</v>
      </c>
      <c r="BB14" s="189">
        <f>SUBTOTAL(9,BB8:BB13)</f>
        <v>359</v>
      </c>
      <c r="BC14" s="189">
        <f>SUBTOTAL(9,BC8:BC13)</f>
        <v>91</v>
      </c>
      <c r="BD14" s="210">
        <f>IF(ISNUMBER(BA14/AZ14),BA14/AZ14," - ")</f>
        <v>1.6293706293706294</v>
      </c>
      <c r="BE14" s="211">
        <f>IF(ISNUMBER(BB14/BA14),BB14/BA14, " - ")</f>
        <v>1.5407725321888412</v>
      </c>
      <c r="BF14" s="211">
        <f>IF(ISNUMBER(BC14/BA14),BC14/BA14, " - ")</f>
        <v>0.3905579399141631</v>
      </c>
      <c r="BG14" s="212">
        <f>IF(ISNUMBER((AY14+AZ14)/BA14),(AY14+AZ14)/BA14," - ")</f>
        <v>2.540772532188841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217</v>
      </c>
      <c r="J17" s="188">
        <v>245</v>
      </c>
      <c r="K17" s="188">
        <v>173</v>
      </c>
      <c r="L17" s="188">
        <v>289</v>
      </c>
      <c r="M17" s="188">
        <v>28</v>
      </c>
      <c r="N17" s="188">
        <v>103</v>
      </c>
      <c r="O17" s="186">
        <v>0</v>
      </c>
      <c r="P17" s="188">
        <v>13</v>
      </c>
      <c r="Q17" s="188">
        <v>0</v>
      </c>
      <c r="R17" s="188">
        <v>54</v>
      </c>
      <c r="S17" s="188">
        <v>108</v>
      </c>
      <c r="T17" s="188">
        <v>277</v>
      </c>
      <c r="U17" s="188">
        <v>282</v>
      </c>
      <c r="V17" s="188">
        <v>107</v>
      </c>
      <c r="W17" s="188">
        <v>20</v>
      </c>
      <c r="X17" s="194">
        <v>209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108</v>
      </c>
      <c r="AZ17" s="129">
        <f t="shared" si="10"/>
        <v>277</v>
      </c>
      <c r="BA17" s="129">
        <f t="shared" si="10"/>
        <v>282</v>
      </c>
      <c r="BB17" s="129">
        <f t="shared" si="10"/>
        <v>107</v>
      </c>
      <c r="BC17" s="127">
        <f>IF(ISNUMBER(W17),W17," - ")</f>
        <v>20</v>
      </c>
      <c r="BD17" s="128">
        <f t="shared" ref="BD17:BD19" si="12">IF(ISNUMBER(BA17/AZ17),BA17/AZ17," - ")</f>
        <v>1.0180505415162455</v>
      </c>
      <c r="BE17" s="129">
        <f t="shared" ref="BE17:BE19" si="13">IF(ISNUMBER(BB17/BA17),BB17/BA17, " - ")</f>
        <v>0.37943262411347517</v>
      </c>
      <c r="BF17" s="129">
        <f t="shared" ref="BF17:BF19" si="14">IF(ISNUMBER(BC17/BA17),BC17/BA17, " - ")</f>
        <v>7.0921985815602842E-2</v>
      </c>
      <c r="BG17" s="201">
        <f t="shared" si="11"/>
        <v>1.3652482269503545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9</v>
      </c>
      <c r="K18" s="188">
        <v>9</v>
      </c>
      <c r="L18" s="188">
        <v>15</v>
      </c>
      <c r="M18" s="188">
        <v>4</v>
      </c>
      <c r="N18" s="188">
        <v>7</v>
      </c>
      <c r="O18" s="188">
        <v>0</v>
      </c>
      <c r="P18" s="188">
        <v>0</v>
      </c>
      <c r="Q18" s="188">
        <v>0</v>
      </c>
      <c r="R18" s="188">
        <v>1</v>
      </c>
      <c r="S18" s="188">
        <v>6</v>
      </c>
      <c r="T18" s="188">
        <v>13</v>
      </c>
      <c r="U18" s="188">
        <v>11</v>
      </c>
      <c r="V18" s="188">
        <v>8</v>
      </c>
      <c r="W18" s="188">
        <v>3</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13</v>
      </c>
      <c r="BA18" s="131">
        <f t="shared" si="15"/>
        <v>11</v>
      </c>
      <c r="BB18" s="131">
        <f t="shared" si="15"/>
        <v>8</v>
      </c>
      <c r="BC18" s="127">
        <f>IF(ISNUMBER(W18),W18," - ")</f>
        <v>3</v>
      </c>
      <c r="BD18" s="128">
        <f>IF(ISNUMBER(BA18/AZ18),BA18/AZ18," - ")</f>
        <v>0.84615384615384615</v>
      </c>
      <c r="BE18" s="129">
        <f>IF(ISNUMBER(BB18/BA18),BB18/BA18, " - ")</f>
        <v>0.72727272727272729</v>
      </c>
      <c r="BF18" s="129">
        <f>IF(ISNUMBER(BC18/BA18),BC18/BA18, " - ")</f>
        <v>0.27272727272727271</v>
      </c>
      <c r="BG18" s="201">
        <f>IF(ISNUMBER((AY18+AZ18)/BA18),(AY18+AZ18)/BA18," - ")</f>
        <v>1.7272727272727273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232</v>
      </c>
      <c r="J20" s="189">
        <f t="shared" si="16"/>
        <v>254</v>
      </c>
      <c r="K20" s="189">
        <f t="shared" si="16"/>
        <v>182</v>
      </c>
      <c r="L20" s="189">
        <f t="shared" si="16"/>
        <v>304</v>
      </c>
      <c r="M20" s="189">
        <f t="shared" si="16"/>
        <v>32</v>
      </c>
      <c r="N20" s="189">
        <f t="shared" si="16"/>
        <v>110</v>
      </c>
      <c r="O20" s="189">
        <f t="shared" si="16"/>
        <v>0</v>
      </c>
      <c r="P20" s="189">
        <f t="shared" si="16"/>
        <v>13</v>
      </c>
      <c r="Q20" s="189">
        <f t="shared" si="16"/>
        <v>0</v>
      </c>
      <c r="R20" s="189">
        <f t="shared" si="16"/>
        <v>55</v>
      </c>
      <c r="S20" s="189">
        <f t="shared" si="16"/>
        <v>114</v>
      </c>
      <c r="T20" s="189">
        <f t="shared" si="16"/>
        <v>290</v>
      </c>
      <c r="U20" s="189">
        <f t="shared" si="16"/>
        <v>293</v>
      </c>
      <c r="V20" s="189">
        <f t="shared" si="16"/>
        <v>115</v>
      </c>
      <c r="W20" s="189">
        <f t="shared" si="16"/>
        <v>23</v>
      </c>
      <c r="X20" s="189">
        <f t="shared" si="16"/>
        <v>216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114</v>
      </c>
      <c r="AZ20" s="189">
        <f>SUBTOTAL(9,AZ15:AZ19)</f>
        <v>290</v>
      </c>
      <c r="BA20" s="189">
        <f>SUBTOTAL(9,BA15:BA19)</f>
        <v>293</v>
      </c>
      <c r="BB20" s="189">
        <f>SUBTOTAL(9,BB15:BB19)</f>
        <v>115</v>
      </c>
      <c r="BC20" s="189">
        <f>SUBTOTAL(9,BC15:BC19)</f>
        <v>23</v>
      </c>
      <c r="BD20" s="210">
        <f>IF(ISNUMBER(BA20/AZ20),BA20/AZ20," - ")</f>
        <v>1.0103448275862068</v>
      </c>
      <c r="BE20" s="211">
        <f>IF(ISNUMBER(BB20/BA20),BB20/BA20, " - ")</f>
        <v>0.39249146757679182</v>
      </c>
      <c r="BF20" s="211">
        <f>IF(ISNUMBER(BC20/BA20),BC20/BA20, " - ")</f>
        <v>7.8498293515358364E-2</v>
      </c>
      <c r="BG20" s="212">
        <f>IF(ISNUMBER((AY20+AZ20)/BA20),(AY20+AZ20)/BA20," - ")</f>
        <v>1.3788395904436861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771</v>
      </c>
      <c r="J21" s="136">
        <f t="shared" si="19"/>
        <v>292</v>
      </c>
      <c r="K21" s="136">
        <f t="shared" si="19"/>
        <v>269</v>
      </c>
      <c r="L21" s="136">
        <f t="shared" si="19"/>
        <v>794</v>
      </c>
      <c r="M21" s="136">
        <f t="shared" si="19"/>
        <v>61</v>
      </c>
      <c r="N21" s="136">
        <f t="shared" si="19"/>
        <v>192</v>
      </c>
      <c r="O21" s="136">
        <f t="shared" si="19"/>
        <v>0</v>
      </c>
      <c r="P21" s="136">
        <f t="shared" si="19"/>
        <v>21</v>
      </c>
      <c r="Q21" s="136">
        <f t="shared" si="19"/>
        <v>32</v>
      </c>
      <c r="R21" s="136">
        <f t="shared" si="19"/>
        <v>1017</v>
      </c>
      <c r="S21" s="136">
        <f t="shared" si="19"/>
        <v>538</v>
      </c>
      <c r="T21" s="136">
        <f t="shared" si="19"/>
        <v>405</v>
      </c>
      <c r="U21" s="136">
        <f t="shared" si="19"/>
        <v>500</v>
      </c>
      <c r="V21" s="136">
        <f t="shared" si="19"/>
        <v>447</v>
      </c>
      <c r="W21" s="136">
        <f t="shared" si="19"/>
        <v>85</v>
      </c>
      <c r="X21" s="136">
        <f t="shared" si="19"/>
        <v>306</v>
      </c>
      <c r="Y21" s="136">
        <f t="shared" si="19"/>
        <v>21</v>
      </c>
      <c r="Z21" s="136">
        <f t="shared" si="19"/>
        <v>24</v>
      </c>
      <c r="AA21" s="136">
        <f t="shared" si="19"/>
        <v>28</v>
      </c>
      <c r="AB21" s="136">
        <f t="shared" si="19"/>
        <v>17</v>
      </c>
      <c r="AC21" s="136">
        <f t="shared" si="19"/>
        <v>0</v>
      </c>
      <c r="AD21" s="136">
        <f t="shared" si="19"/>
        <v>0</v>
      </c>
      <c r="AE21" s="136">
        <f t="shared" si="19"/>
        <v>0</v>
      </c>
      <c r="AF21" s="136">
        <f t="shared" si="19"/>
        <v>0</v>
      </c>
      <c r="AG21" s="136">
        <f t="shared" si="19"/>
        <v>25</v>
      </c>
      <c r="AH21" s="136">
        <f t="shared" si="19"/>
        <v>28</v>
      </c>
      <c r="AI21" s="136">
        <f t="shared" si="19"/>
        <v>26</v>
      </c>
      <c r="AJ21" s="136">
        <f t="shared" si="19"/>
        <v>27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563</v>
      </c>
      <c r="AZ21" s="136">
        <f>SUBTOTAL(9,AZ9:AZ20)</f>
        <v>433</v>
      </c>
      <c r="BA21" s="136">
        <f>SUBTOTAL(9,BA9:BA20)</f>
        <v>526</v>
      </c>
      <c r="BB21" s="136">
        <f>SUBTOTAL(9,BB9:BB20)</f>
        <v>474</v>
      </c>
      <c r="BC21" s="137">
        <f>SUBTOTAL(9,BC9:BC20)</f>
        <v>114</v>
      </c>
      <c r="BD21" s="218">
        <f>IF(ISNUMBER(BA21/AZ21),BA21/AZ21," - ")</f>
        <v>1.2147806004618937</v>
      </c>
      <c r="BE21" s="215">
        <f>IF(ISNUMBER(BB21/BA21),BB21/BA21, " - ")</f>
        <v>0.90114068441064643</v>
      </c>
      <c r="BF21" s="215">
        <f>IF(ISNUMBER(BC21/BA21),BC21/BA21, " - ")</f>
        <v>0.21673003802281368</v>
      </c>
      <c r="BG21" s="137">
        <f>IF(ISNUMBER((AY21+AZ21)/BA21),(AY21+AZ21)/BA21," - ")</f>
        <v>1.8935361216730038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NdWzr3ScnLk9OfhZ99lf+WSmhi2BU+pntE/J3E23vwjHfSyg5+0Dc38HB0ONvXUM8OYmhNSfmMW7+pVL16zeA==" saltValue="1mWgeGvLWvbOZzrGmApn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MxFScJjR2eLii9M6ifohnaUaRxbSWkwDJt6zEdDnFV7YTKsSUti6HsQ75TMmuibkfTGktgQDX0mq7ANR7c7w==" saltValue="k1TzlliAO2DPYwmcqwvu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LLERENA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v>
      </c>
      <c r="AI12" s="504" t="str">
        <f>IF(ISNUMBER(Datos!CD12),Datos!CD12,"-")</f>
        <v>-</v>
      </c>
      <c r="AJ12" s="504" t="str">
        <f>IF(ISNUMBER(Datos!EN12),Datos!EN12," - ")</f>
        <v xml:space="preserve"> - </v>
      </c>
      <c r="AK12" s="504"/>
      <c r="AL12" s="505"/>
      <c r="AM12" s="672">
        <f>IF(ISNUMBER(Datos!R12),Datos!R12," - ")</f>
        <v>962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v>
      </c>
      <c r="BD12" s="620">
        <f>IF(ISNUMBER(Datos!N12),Datos!N12," - ")</f>
        <v>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1.8852459016393444</v>
      </c>
      <c r="BH12" s="670">
        <f>IF(ISNUMBER(((IF(J_V="SI",Datos!L12/Datos!K12,(Datos!L12+Datos!AB12)/(Datos!K12+Datos!AA12)))*11)/factor_trimestre),((IF(J_V="SI",Datos!L12/Datos!K12,(Datos!L12+Datos!AB12)/(Datos!K12+Datos!AA12)))*11)/factor_trimestre," - ")</f>
        <v>13.14782608695652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-2.434077079107505E-2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32</v>
      </c>
      <c r="AD14" s="1046">
        <f t="shared" si="2"/>
        <v>0</v>
      </c>
      <c r="AE14" s="1046">
        <f t="shared" si="2"/>
        <v>0</v>
      </c>
      <c r="AF14" s="1046">
        <f t="shared" si="2"/>
        <v>3</v>
      </c>
      <c r="AG14" s="1046">
        <f t="shared" si="2"/>
        <v>0</v>
      </c>
      <c r="AH14" s="1046">
        <f t="shared" si="2"/>
        <v>17</v>
      </c>
      <c r="AI14" s="1046">
        <f t="shared" si="2"/>
        <v>0</v>
      </c>
      <c r="AJ14" s="1046">
        <f t="shared" si="2"/>
        <v>0</v>
      </c>
      <c r="AK14" s="1046">
        <f t="shared" si="2"/>
        <v>0</v>
      </c>
      <c r="AL14" s="1046">
        <f t="shared" si="2"/>
        <v>0</v>
      </c>
      <c r="AM14" s="1046">
        <f t="shared" si="2"/>
        <v>962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v>
      </c>
      <c r="BD14" s="1046">
        <f t="shared" si="2"/>
        <v>82</v>
      </c>
      <c r="BE14" s="1046">
        <f t="shared" si="2"/>
        <v>0</v>
      </c>
      <c r="BF14" s="1046">
        <f t="shared" si="2"/>
        <v>0</v>
      </c>
      <c r="BG14" s="1046">
        <f>IF(ISNUMBER(Datos!K14/Datos!J14),Datos!K14/Datos!J14," - ")</f>
        <v>2.2894736842105261</v>
      </c>
      <c r="BH14" s="1050">
        <f>IF(ISNUMBER(((Datos!L14/Datos!K14)*11)/factor_trimestre),((Datos!L14/Datos!K14)*11)/factor_trimestre," - ")</f>
        <v>16.896551724137929</v>
      </c>
      <c r="BI14" s="1046">
        <f>IF(ISNUMBER('Resol  Asuntos'!D14/NºAsuntos!G14),'Resol  Asuntos'!D14/NºAsuntos!G14," - ")</f>
        <v>0.25217391304347825</v>
      </c>
      <c r="BJ14" s="1046" t="str">
        <f>IF(ISNUMBER(Datos!CI14/Datos!CJ14),Datos!CI14/Datos!CJ14," - ")</f>
        <v xml:space="preserve"> - </v>
      </c>
      <c r="BK14" s="1046">
        <f>SUBTOTAL(9,BK8:BK13)</f>
        <v>0</v>
      </c>
      <c r="BL14" s="1046">
        <f>IF(ISNUMBER((I14-AB14+L14)/(F14)),(I14-AB14+L14)/(F14)," - ")</f>
        <v>0</v>
      </c>
      <c r="BM14" s="1051">
        <f>SUBTOTAL(9,BM9:BM13)</f>
        <v>-2.434077079107505E-2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217</v>
      </c>
      <c r="G17" s="651">
        <f>IF(ISNUMBER(IF(D_I="SI",Datos!I17,Datos!I17+Datos!AC17)),IF(D_I="SI",Datos!I17,Datos!I17+Datos!AC17)," - ")</f>
        <v>217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173</v>
      </c>
      <c r="AC17" s="231">
        <f>IF(ISNUMBER(Datos!Q17),Datos!Q17," - ")</f>
        <v>0</v>
      </c>
      <c r="AD17" s="344"/>
      <c r="AE17" s="516"/>
      <c r="AF17" s="649">
        <f>IF(ISNUMBER(IF(D_I="SI",Datos!L17,Datos!L17+Datos!AF17)),IF(D_I="SI",Datos!L17,Datos!L17+Datos!AF17)," - ")</f>
        <v>289</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103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0.70612244897959187</v>
      </c>
      <c r="BH17" s="670">
        <f>IF(ISNUMBER(((IF(D_I="SI",Datos!L17/Datos!K17,(Datos!L17+Datos!AF17)/(Datos!K17+Datos!AE17)))*11)/factor_trimestre),((IF(D_I="SI",Datos!L17/Datos!K17,(Datos!L17+Datos!AF17)/(Datos!K17+Datos!AE17)))*11)/factor_trimestre," - ")</f>
        <v>5.011560693641619</v>
      </c>
      <c r="BI17" s="248">
        <f>IF(ISNUMBER('Resol  Asuntos'!D17/NºAsuntos!G17),'Resol  Asuntos'!D17/NºAsuntos!G17," - ")</f>
        <v>0.16184971098265896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v>
      </c>
      <c r="AC18" s="502">
        <f>IF(ISNUMBER(Datos!Q18),Datos!Q18," - ")</f>
        <v>0</v>
      </c>
      <c r="AD18" s="504"/>
      <c r="AE18" s="516"/>
      <c r="AF18" s="506">
        <f>IF(ISNUMBER(Datos!L18),Datos!L18,"-")</f>
        <v>15</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5.0000000000000009</v>
      </c>
      <c r="BI18" s="669">
        <f>IF(ISNUMBER('Resol  Asuntos'!D18/NºAsuntos!G18),'Resol  Asuntos'!D18/NºAsuntos!G18," - ")</f>
        <v>0.44444444444444442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217</v>
      </c>
      <c r="G20" s="1045">
        <f>SUBTOTAL(9,G16:G19)</f>
        <v>232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182</v>
      </c>
      <c r="AC20" s="1046">
        <f t="shared" si="5"/>
        <v>0</v>
      </c>
      <c r="AD20" s="1046">
        <f t="shared" si="5"/>
        <v>0</v>
      </c>
      <c r="AE20" s="1046">
        <f t="shared" si="5"/>
        <v>0</v>
      </c>
      <c r="AF20" s="1046">
        <f t="shared" si="5"/>
        <v>304</v>
      </c>
      <c r="AG20" s="1046">
        <f t="shared" si="5"/>
        <v>0</v>
      </c>
      <c r="AH20" s="1046">
        <f t="shared" si="5"/>
        <v>0</v>
      </c>
      <c r="AI20" s="1046">
        <f t="shared" si="5"/>
        <v>0</v>
      </c>
      <c r="AJ20" s="1046">
        <f t="shared" si="5"/>
        <v>0</v>
      </c>
      <c r="AK20" s="1046">
        <f t="shared" si="5"/>
        <v>0</v>
      </c>
      <c r="AL20" s="1046">
        <f t="shared" si="5"/>
        <v>0</v>
      </c>
      <c r="AM20" s="1046">
        <f t="shared" si="5"/>
        <v>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v>
      </c>
      <c r="BD20" s="1046">
        <f t="shared" si="5"/>
        <v>110</v>
      </c>
      <c r="BE20" s="1046">
        <f t="shared" si="5"/>
        <v>0</v>
      </c>
      <c r="BF20" s="1046">
        <f t="shared" si="5"/>
        <v>0</v>
      </c>
      <c r="BG20" s="1046">
        <f>IF(ISNUMBER(Datos!K20/Datos!J20),Datos!K20/Datos!J20," - ")</f>
        <v>0.71653543307086609</v>
      </c>
      <c r="BH20" s="1050">
        <f>IF(ISNUMBER(((Datos!L20/Datos!K20)*11)/factor_trimestre),((Datos!L20/Datos!K20)*11)/factor_trimestre," - ")</f>
        <v>5.0109890109890118</v>
      </c>
      <c r="BI20" s="1046">
        <f>SUBTOTAL(9,BI16:BI19)</f>
        <v>0.60629415542710341</v>
      </c>
      <c r="BJ20" s="1046">
        <f>SUBTOTAL(9,BJ16:BJ19)</f>
        <v>0</v>
      </c>
      <c r="BK20" s="1046">
        <f>SUBTOTAL(9,BK16:BK19)</f>
        <v>0</v>
      </c>
      <c r="BL20" s="1046">
        <f>IF(ISNUMBER((I20-AB20+L20)/(F20)),(I20-AB20+L20)/(F20)," - ")</f>
        <v>-0.83870967741935487</v>
      </c>
      <c r="BM20" s="1052">
        <f>IF(ISNUMBER((Datos!P20-Datos!Q20)/(Datos!R20-Datos!P20+Datos!Q20)),(Datos!P20-Datos!Q20)/(Datos!R20-Datos!P20+Datos!Q20)," - ")</f>
        <v>0.30952380952380953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219</v>
      </c>
      <c r="G21" s="967">
        <f t="shared" si="7"/>
        <v>234</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182</v>
      </c>
      <c r="AC21" s="968">
        <f t="shared" si="8"/>
        <v>32</v>
      </c>
      <c r="AD21" s="968">
        <f t="shared" si="8"/>
        <v>0</v>
      </c>
      <c r="AE21" s="968">
        <f t="shared" si="8"/>
        <v>0</v>
      </c>
      <c r="AF21" s="975">
        <f t="shared" si="8"/>
        <v>307</v>
      </c>
      <c r="AG21" s="975">
        <f t="shared" si="8"/>
        <v>0</v>
      </c>
      <c r="AH21" s="975">
        <f t="shared" si="8"/>
        <v>17</v>
      </c>
      <c r="AI21" s="975">
        <f t="shared" si="8"/>
        <v>0</v>
      </c>
      <c r="AJ21" s="968">
        <f t="shared" si="8"/>
        <v>0</v>
      </c>
      <c r="AK21" s="975">
        <f t="shared" si="8"/>
        <v>0</v>
      </c>
      <c r="AL21" s="975">
        <f t="shared" si="8"/>
        <v>0</v>
      </c>
      <c r="AM21" s="975">
        <f t="shared" si="8"/>
        <v>1017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61</v>
      </c>
      <c r="BD21" s="967">
        <f t="shared" si="8"/>
        <v>192</v>
      </c>
      <c r="BE21" s="967">
        <f t="shared" si="8"/>
        <v>0</v>
      </c>
      <c r="BF21" s="977">
        <f t="shared" si="8"/>
        <v>0</v>
      </c>
      <c r="BG21" s="1062">
        <f>IF(ISNUMBER(Datos!K21/Datos!J21),Datos!K21/Datos!J21," - ")</f>
        <v>0.92123287671232879</v>
      </c>
      <c r="BH21" s="1062">
        <f>IF(ISNUMBER(((Datos!L21/Datos!K21)*11)/factor_trimestre),((Datos!L21/Datos!K21)*11)/factor_trimestre," - ")</f>
        <v>8.8550185873605951</v>
      </c>
      <c r="BI21" s="960">
        <f>IF(ISNUMBER(Datos!J21/Datos!I21),Datos!J21/Datos!I21," - ")</f>
        <v>0.37872892347600517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-0.83105022831050224</v>
      </c>
      <c r="BM21" s="1036">
        <f>IF(ISNUMBER((Datos!P21-Datos!Q21+R21)/(Datos!R21-Datos!P21+Datos!Q21-R21)),(Datos!P21-Datos!Q21+R21)/(Datos!R21-Datos!P21+Datos!Q21-R21)," - ")</f>
        <v>-1.0700389105058366E-2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124.13030787576955</v>
      </c>
      <c r="G23" s="601">
        <f>IF(ISNUMBER(STDEV(G8:G20)),STDEV(G8:G20),"-")</f>
        <v>119.7301131712486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95.701097172394014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14.320148975016521</v>
      </c>
      <c r="BD23" s="600"/>
      <c r="BE23" s="600">
        <f>IF(ISNUMBER(STDEV(BE8:BE20)),STDEV(BE8:BE20),"-")</f>
        <v>0</v>
      </c>
      <c r="BF23" s="605">
        <f>IF(ISNUMBER(STDEV(BF8:BF20)),STDEV(BF8:BF20),"-")</f>
        <v>0</v>
      </c>
      <c r="BG23" s="915">
        <f>IF(ISNUMBER(STDEV(BG8:BG20)),STDEV(BG8:BG20),"-")</f>
        <v>0.84304711902474683</v>
      </c>
      <c r="BH23" s="919">
        <f>IF(ISNUMBER(STDEV(BH8:BH20)),STDEV(BH8:BH20),"-")</f>
        <v>5.6431141954621431</v>
      </c>
      <c r="BI23" s="254">
        <f>IF(ISNUMBER(STDEV(BI8:BI20)),STDEV(BI8:BI20),"-")</f>
        <v>0.19876987139906488</v>
      </c>
      <c r="BJ23" s="235" t="str">
        <f>IF(ISNUMBER(BL23/BM23),BL23/BM23," - ")</f>
        <v xml:space="preserve"> - </v>
      </c>
      <c r="BK23" s="627"/>
      <c r="BL23" s="608">
        <f>IF(ISNUMBER(STDEV(BL8:BL20)),STDEV(BL8:BL20),"-")</f>
        <v>0.59305730035000759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ditBCYyxsnH1MsBE6vzPl2QOFirpvMUNEFcgNoYuD7PU38j8BOMZvVp6PUrT2oraq4hDrx8nqf0K6XyEQ2qRQ==" saltValue="154dY6K7vTWN5rXDBvdQ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LLERENA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32</v>
      </c>
      <c r="AA12" s="506" t="str">
        <f>IF(ISNUMBER(IF(J_V="SI",Datos!L12,Datos!L12+Datos!AB12)-IF(Monitorios="SI",Datos!CD12,0)),
                          IF(J_V="SI",Datos!L12,Datos!L12+Datos!AB12)-IF(Monitorios="SI",Datos!CD12,0),
                          " - ")</f>
        <v xml:space="preserve"> - </v>
      </c>
      <c r="AB12" s="504"/>
      <c r="AC12" s="504"/>
      <c r="AD12" s="517"/>
      <c r="AE12" s="517">
        <f>IF(ISNUMBER(Datos!R12),Datos!R12," - ")</f>
        <v>962</v>
      </c>
      <c r="AF12" s="620" t="str">
        <f>IF(ISNUMBER(Datos!BV12),Datos!BV12," - ")</f>
        <v xml:space="preserve"> - </v>
      </c>
      <c r="AG12" s="507" t="str">
        <f>IF(ISNUMBER(Datos!DV12),Datos!DV12," - ")</f>
        <v xml:space="preserve"> - </v>
      </c>
      <c r="AH12" s="508"/>
      <c r="AI12" s="509"/>
      <c r="AJ12" s="507">
        <f>IF(ISNUMBER(Datos!M12),Datos!M12," - ")</f>
        <v>29</v>
      </c>
      <c r="AK12" s="620">
        <f>IF(ISNUMBER(Datos!N12),Datos!N12," - ")</f>
        <v>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13.14782608695652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-2.434077079107505E-2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32</v>
      </c>
      <c r="AA14" s="1047">
        <f t="shared" si="3"/>
        <v>3</v>
      </c>
      <c r="AB14" s="1047">
        <f t="shared" si="3"/>
        <v>0</v>
      </c>
      <c r="AC14" s="1047">
        <f t="shared" si="3"/>
        <v>0</v>
      </c>
      <c r="AD14" s="1047">
        <f t="shared" si="3"/>
        <v>0</v>
      </c>
      <c r="AE14" s="1047">
        <f t="shared" si="3"/>
        <v>962</v>
      </c>
      <c r="AF14" s="1055">
        <f t="shared" si="3"/>
        <v>0</v>
      </c>
      <c r="AG14" s="1055">
        <f t="shared" si="3"/>
        <v>0</v>
      </c>
      <c r="AH14" s="1055">
        <f t="shared" si="3"/>
        <v>0</v>
      </c>
      <c r="AI14" s="1055">
        <f t="shared" si="3"/>
        <v>0</v>
      </c>
      <c r="AJ14" s="1055">
        <f t="shared" si="3"/>
        <v>29</v>
      </c>
      <c r="AK14" s="1055">
        <f t="shared" si="3"/>
        <v>82</v>
      </c>
      <c r="AL14" s="1055">
        <f t="shared" si="3"/>
        <v>0</v>
      </c>
      <c r="AM14" s="1055">
        <f t="shared" si="3"/>
        <v>0</v>
      </c>
      <c r="AN14" s="1055">
        <f t="shared" si="3"/>
        <v>0</v>
      </c>
      <c r="AO14" s="1051">
        <f>IF(ISNUMBER(((NºAsuntos!I14/NºAsuntos!G14)*11)/factor_trimestre),((NºAsuntos!I14/NºAsuntos!G14)*11)/factor_trimestre," - ")</f>
        <v>13.22608695652174</v>
      </c>
      <c r="AP14" s="1057" t="str">
        <f>IF(ISNUMBER(Datos!CI14/Datos!CJ14),Datos!CI14/Datos!CJ14," - ")</f>
        <v xml:space="preserve"> - </v>
      </c>
      <c r="AQ14" s="1075">
        <f t="shared" ref="AQ14:AV14" si="4">SUBTOTAL(9,AQ9:AQ13)</f>
        <v>0</v>
      </c>
      <c r="AR14" s="1075">
        <f t="shared" si="4"/>
        <v>-2.434077079107505E-2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217</v>
      </c>
      <c r="G17" s="507">
        <f>IF(ISNUMBER(IF(D_I="SI",Datos!I17,Datos!I17+Datos!AC17)),IF(D_I="SI",Datos!I17,Datos!I17+Datos!AC17)," - ")</f>
        <v>217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173</v>
      </c>
      <c r="Z17" s="704">
        <f>IF(ISNUMBER(Datos!Q17),Datos!Q17," - ")</f>
        <v>0</v>
      </c>
      <c r="AA17" s="506">
        <f>IF(ISNUMBER(IF(D_I="SI",Datos!L17,Datos!L17+Datos!AF17)),IF(D_I="SI",Datos!L17,Datos!L17+Datos!AF17)," - ")</f>
        <v>289</v>
      </c>
      <c r="AB17" s="504"/>
      <c r="AC17" s="504"/>
      <c r="AD17" s="517"/>
      <c r="AE17" s="517">
        <f>IF(ISNUMBER(Datos!R17),Datos!R17," - ")</f>
        <v>54</v>
      </c>
      <c r="AF17" s="620" t="str">
        <f>IF(ISNUMBER(Datos!BV17),Datos!BV17," - ")</f>
        <v xml:space="preserve"> - </v>
      </c>
      <c r="AG17" s="507"/>
      <c r="AH17" s="508"/>
      <c r="AI17" s="509"/>
      <c r="AJ17" s="507">
        <f>IF(ISNUMBER(Datos!M17),Datos!M17," - ")</f>
        <v>28</v>
      </c>
      <c r="AK17" s="620">
        <f>IF(ISNUMBER(Datos!N17),Datos!N17," - ")</f>
        <v>103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5.011560693641619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v>
      </c>
      <c r="Z18" s="704">
        <f>IF(ISNUMBER(Datos!Q18),Datos!Q18," - ")</f>
        <v>0</v>
      </c>
      <c r="AA18" s="506">
        <f>IF(ISNUMBER(Datos!L18),Datos!L18,"-")</f>
        <v>15</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5.0000000000000009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217</v>
      </c>
      <c r="G20" s="1045">
        <f>SUBTOTAL(9,G16:G19)</f>
        <v>232</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182</v>
      </c>
      <c r="Z20" s="1079">
        <f t="shared" si="6"/>
        <v>0</v>
      </c>
      <c r="AA20" s="1079">
        <f t="shared" si="6"/>
        <v>304</v>
      </c>
      <c r="AB20" s="1079">
        <f t="shared" si="6"/>
        <v>0</v>
      </c>
      <c r="AC20" s="1079">
        <f t="shared" si="6"/>
        <v>0</v>
      </c>
      <c r="AD20" s="1079">
        <f t="shared" si="6"/>
        <v>0</v>
      </c>
      <c r="AE20" s="1079">
        <f t="shared" si="6"/>
        <v>55</v>
      </c>
      <c r="AF20" s="1079">
        <f t="shared" si="6"/>
        <v>0</v>
      </c>
      <c r="AG20" s="1079">
        <f t="shared" si="6"/>
        <v>0</v>
      </c>
      <c r="AH20" s="1079">
        <f t="shared" si="6"/>
        <v>0</v>
      </c>
      <c r="AI20" s="1079">
        <f t="shared" si="6"/>
        <v>0</v>
      </c>
      <c r="AJ20" s="1079">
        <f t="shared" si="6"/>
        <v>32</v>
      </c>
      <c r="AK20" s="1079">
        <f t="shared" si="6"/>
        <v>110</v>
      </c>
      <c r="AL20" s="1079">
        <f t="shared" si="6"/>
        <v>0</v>
      </c>
      <c r="AM20" s="1079">
        <f t="shared" si="6"/>
        <v>0</v>
      </c>
      <c r="AN20" s="1079">
        <f t="shared" si="6"/>
        <v>0</v>
      </c>
      <c r="AO20" s="1081">
        <f>IF(ISNUMBER(((NºAsuntos!I20/NºAsuntos!G20)*11)/factor_trimestre),((NºAsuntos!I20/NºAsuntos!G20)*11)/factor_trimestre," - ")</f>
        <v>5.0109890109890118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219</v>
      </c>
      <c r="G21" s="967">
        <f t="shared" si="8"/>
        <v>234</v>
      </c>
      <c r="H21" s="968">
        <f t="shared" si="8"/>
        <v>0</v>
      </c>
      <c r="I21" s="967">
        <f t="shared" si="8"/>
        <v>0</v>
      </c>
      <c r="J21" s="969">
        <f t="shared" si="8"/>
        <v>0</v>
      </c>
      <c r="K21" s="967">
        <f t="shared" si="8"/>
        <v>0</v>
      </c>
      <c r="L21" s="970">
        <f t="shared" si="8"/>
        <v>0</v>
      </c>
      <c r="M21" s="967">
        <f t="shared" si="8"/>
        <v>0</v>
      </c>
      <c r="N21" s="968">
        <f t="shared" si="8"/>
        <v>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182</v>
      </c>
      <c r="Z21" s="974">
        <f t="shared" si="9"/>
        <v>32</v>
      </c>
      <c r="AA21" s="975">
        <f t="shared" si="9"/>
        <v>307</v>
      </c>
      <c r="AB21" s="975">
        <f t="shared" si="9"/>
        <v>0</v>
      </c>
      <c r="AC21" s="975">
        <f t="shared" si="9"/>
        <v>0</v>
      </c>
      <c r="AD21" s="976">
        <f t="shared" si="9"/>
        <v>0</v>
      </c>
      <c r="AE21" s="976">
        <f t="shared" si="9"/>
        <v>1017</v>
      </c>
      <c r="AF21" s="977">
        <f t="shared" si="9"/>
        <v>0</v>
      </c>
      <c r="AG21" s="978">
        <f t="shared" si="9"/>
        <v>0</v>
      </c>
      <c r="AH21" s="979">
        <f t="shared" si="9"/>
        <v>0</v>
      </c>
      <c r="AI21" s="977">
        <f t="shared" si="9"/>
        <v>0</v>
      </c>
      <c r="AJ21" s="967">
        <f t="shared" si="9"/>
        <v>61</v>
      </c>
      <c r="AK21" s="967">
        <f t="shared" si="9"/>
        <v>192</v>
      </c>
      <c r="AL21" s="967">
        <f t="shared" si="9"/>
        <v>0</v>
      </c>
      <c r="AM21" s="980">
        <f t="shared" si="9"/>
        <v>0</v>
      </c>
      <c r="AN21" s="970">
        <f>IF(ISNUMBER(Datos!K21/Datos!J21),Datos!K21/Datos!J21," - ")</f>
        <v>0.92123287671232879</v>
      </c>
      <c r="AO21" s="970">
        <f>IF(ISNUMBER(FIND("06",Criterios!A8,1)),(IF(ISNUMBER(((Datos!R21/Datos!Q21)*11)/factor_trimestre),((Datos!R21/Datos!Q21)*11)/factor_trimestre," - ")),(IF(ISNUMBER(((Datos!L21/Datos!K21)*11)/factor_trimestre),((Datos!L21/Datos!K21)*11)/factor_trimestre," - ")))</f>
        <v>8.8550185873605951</v>
      </c>
      <c r="AP21" s="981" t="str">
        <f>IF(ISNUMBER(Datos!CI21/Datos!CJ21),Datos!CI21/Datos!CJ21," - ")</f>
        <v xml:space="preserve"> - </v>
      </c>
      <c r="AQ21" s="981">
        <f>IF(OR(ISNUMBER(FIND("01",Criterios!A8,1)),ISNUMBER(FIND("02",Criterios!A8,1)),ISNUMBER(FIND("03",Criterios!A8,1)),ISNUMBER(FIND("04",Criterios!A8,1))),(J21-Y21+K21)/(F21-K21),(I21-Y21+K21)/(F21-K21))</f>
        <v>-0.83105022831050224</v>
      </c>
      <c r="AR21" s="981">
        <f>IF(ISNUMBER((Datos!P21-Datos!Q21+O21)/(Datos!R21-Datos!P21+Datos!Q21-O21)),(Datos!P21-Datos!Q21+O21)/(Datos!R21-Datos!P21+Datos!Q21-O21)," - ")</f>
        <v>-1.0700389105058366E-2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124.13030787576955</v>
      </c>
      <c r="G23" s="601">
        <f>IF(ISNUMBER(STDEV(G8:G20)),STDEV(G8:G20),"-")</f>
        <v>119.7301131712486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14.320148975016521</v>
      </c>
      <c r="AK23" s="257"/>
      <c r="AL23" s="257">
        <f>IF(ISNUMBER(STDEV(AL8:AL20)),STDEV(AL8:AL20),"-")</f>
        <v>0</v>
      </c>
      <c r="AM23" s="259">
        <f>IF(ISNUMBER(STDEV(AM8:AM20)),STDEV(AM8:AM20),"-")</f>
        <v>0</v>
      </c>
      <c r="AN23" s="587">
        <f>IF(ISNUMBER(STDEV(AN8:AN20)),STDEV(AN8:AN20),"-")</f>
        <v>0</v>
      </c>
      <c r="AO23" s="588">
        <f>IF(ISNUMBER(STDEV(AO8:AO20)),STDEV(AO8:AO20),"-")</f>
        <v>4.4801515833038987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vrMTOKSI+3NmKdTKF9RWTGumWA5wvGqvBTsKuMVhsafZlLaV7UioUdj+iletCtLKzrh7+kSOmT2YI/ztgkATg==" saltValue="/gWfICQiYv1B3kGvWjcw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fvj0tbcNva4W6HjZ2wRn6BXVj9gcXLMsWD1rEHOIgbTO2JxJR6pLCt6ePO8j/SEtKaPr2aiOlRmb4IRvOKFRg==" saltValue="P5570ehFnuDvZNLk8gX4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0sKfC1wgiFIC/Qae3YlQgTP96kLAF5Szzvq+1e/b0y19waPLUVdJQkh+Nrl/oTRMnpaH0qDhmtiSGUjHhHKCA==" saltValue="JuuI3B/yWm8rl7q4enTd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LLERENA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0.25217391304347825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0.17831388395139025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eU9TlLctKaiGUlJQ7AoM8pdeChAmNDeoEoM0DBxo5PZFq58K4us7XsQ23dTebhvDUvFgzdI11Z37ptoy3WGkg==" saltValue="sq7RQhxQYT3XsDgvplco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7dtf8EEJ+sWNUcPI3ReVgtUYnkhmIeSXKd8a75qS8IqzHKJkQS/I7QRH23azhcbGkMnck8/1b8IiDs06R0sSqQ==" saltValue="C4TPOCsqV4pmUezJarb0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LLERENA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558</v>
      </c>
      <c r="D12" s="416">
        <f>IF(ISNUMBER(C12/Datos!BH12),C12/Datos!BH12," - ")</f>
        <v>558</v>
      </c>
      <c r="E12" s="415">
        <f>IF(ISNUMBER(IF(J_V="SI",Datos!J12,Datos!J12+Datos!Z12)),IF(J_V="SI",Datos!J12,Datos!J12+Datos!Z12)," - ")</f>
        <v>61</v>
      </c>
      <c r="F12" s="416">
        <f>IF(ISNUMBER(E12/B12),E12/B12," - ")</f>
        <v>61</v>
      </c>
      <c r="G12" s="415">
        <f>IF(ISNUMBER(IF(J_V="SI",Datos!K12,Datos!K12+Datos!AA12)),IF(J_V="SI",Datos!K12,Datos!K12+Datos!AA12)," - ")</f>
        <v>115</v>
      </c>
      <c r="H12" s="416">
        <f>IF(ISNUMBER(G12/B12),G12/B12," - ")</f>
        <v>115</v>
      </c>
      <c r="I12" s="415">
        <f>IF(ISNUMBER(IF(J_V="SI",Datos!L12,Datos!L12+Datos!AB12)),IF(J_V="SI",Datos!L12,Datos!L12+Datos!AB12)," - ")</f>
        <v>504</v>
      </c>
      <c r="J12" s="416">
        <f>IF(ISNUMBER(I12/B12),I12/B12," - ")</f>
        <v>504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560</v>
      </c>
      <c r="D14" s="997" t="str">
        <f>IF(ISNUMBER(C14/Datos!BI14),C14/Datos!BI14," - ")</f>
        <v xml:space="preserve"> - </v>
      </c>
      <c r="E14" s="996">
        <f>SUBTOTAL(9,E8:E13)</f>
        <v>62</v>
      </c>
      <c r="F14" s="997">
        <f>IF(ISNUMBER(E14/B14),E14/B14," - ")</f>
        <v>62</v>
      </c>
      <c r="G14" s="996">
        <f>SUBTOTAL(9,G8:G13)</f>
        <v>115</v>
      </c>
      <c r="H14" s="997">
        <f>IF(ISNUMBER(G14/B14),G14/B14," - ")</f>
        <v>115</v>
      </c>
      <c r="I14" s="996">
        <f>SUBTOTAL(9,I8:I13)</f>
        <v>507</v>
      </c>
      <c r="J14" s="997">
        <f>IF(ISNUMBER(I14/B14),I14/B14," - ")</f>
        <v>507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217</v>
      </c>
      <c r="D17" s="416">
        <f>IF(ISNUMBER(C17/Datos!BH17),C17/Datos!BH17," - ")</f>
        <v>217</v>
      </c>
      <c r="E17" s="415">
        <f>IF(ISNUMBER(IF(D_I="SI",Datos!J17,Datos!J17+Datos!AD17)),IF(D_I="SI",Datos!J17,Datos!J17+Datos!AD17)," - ")</f>
        <v>245</v>
      </c>
      <c r="F17" s="416">
        <f>IF(ISNUMBER(E17/B17),E17/B17," - ")</f>
        <v>245</v>
      </c>
      <c r="G17" s="415">
        <f>IF(ISNUMBER(IF(D_I="SI",Datos!K17,Datos!K17+Datos!AE17)),IF(D_I="SI",Datos!K17,Datos!K17+Datos!AE17)," - ")</f>
        <v>173</v>
      </c>
      <c r="H17" s="416">
        <f>IF(ISNUMBER(G17/B17),G17/B17," - ")</f>
        <v>173</v>
      </c>
      <c r="I17" s="415">
        <f>IF(ISNUMBER(IF(D_I="SI",Datos!L17,Datos!L17+Datos!AF17)),IF(D_I="SI",Datos!L17,Datos!L17+Datos!AF17)," - ")</f>
        <v>289</v>
      </c>
      <c r="J17" s="416">
        <f>IF(ISNUMBER(I17/B17),I17/B17," - ")</f>
        <v>289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9</v>
      </c>
      <c r="F18" s="416">
        <f>IF(ISNUMBER(E18/B18),E18/B18," - ")</f>
        <v>9</v>
      </c>
      <c r="G18" s="415">
        <f>IF(ISNUMBER(IF(D_I="SI",Datos!K18,Datos!K18+Datos!AE18)),IF(D_I="SI",Datos!K18,Datos!K18+Datos!AE18)," - ")</f>
        <v>9</v>
      </c>
      <c r="H18" s="416">
        <f>IF(ISNUMBER(G18/B18),G18/B18," - ")</f>
        <v>9</v>
      </c>
      <c r="I18" s="415">
        <f>IF(ISNUMBER(IF(D_I="SI",Datos!L18,Datos!L18+Datos!AF18)),IF(D_I="SI",Datos!L18,Datos!L18+Datos!AF18)," - ")</f>
        <v>15</v>
      </c>
      <c r="J18" s="416">
        <f>IF(ISNUMBER(I18/B18),I18/B18," - ")</f>
        <v>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232</v>
      </c>
      <c r="D20" s="997" t="str">
        <f>IF(ISNUMBER(C20/Datos!BI20),C20/Datos!BI20," - ")</f>
        <v xml:space="preserve"> - </v>
      </c>
      <c r="E20" s="996">
        <f>SUBTOTAL(9,E15:E19)</f>
        <v>254</v>
      </c>
      <c r="F20" s="997">
        <f>IF(ISNUMBER(E20/B20),E20/B20," - ")</f>
        <v>254</v>
      </c>
      <c r="G20" s="996">
        <f>SUBTOTAL(9,G15:G19)</f>
        <v>182</v>
      </c>
      <c r="H20" s="997">
        <f>IF(ISNUMBER(G20/B20),G20/B20," - ")</f>
        <v>182</v>
      </c>
      <c r="I20" s="996">
        <f>SUBTOTAL(9,I15:I19)</f>
        <v>304</v>
      </c>
      <c r="J20" s="997">
        <f>IF(ISNUMBER(I20/B20),I20/B20," - ")</f>
        <v>304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792</v>
      </c>
      <c r="D21" s="942" t="str">
        <f>IF(ISNUMBER(C21/Datos!BI21),C21/Datos!BI21," - ")</f>
        <v xml:space="preserve"> - </v>
      </c>
      <c r="E21" s="941">
        <f>SUBTOTAL(9,E9:E20)</f>
        <v>316</v>
      </c>
      <c r="F21" s="942">
        <f>IF(ISNUMBER(E21/B21),E21/B21," - ")</f>
        <v>316</v>
      </c>
      <c r="G21" s="941">
        <f>SUBTOTAL(9,G9:G20)</f>
        <v>297</v>
      </c>
      <c r="H21" s="942">
        <f>IF(ISNUMBER(G21/B21),G21/B21," - ")</f>
        <v>297</v>
      </c>
      <c r="I21" s="941">
        <f>SUBTOTAL(9,I9:I20)</f>
        <v>811</v>
      </c>
      <c r="J21" s="942">
        <f>IF(ISNUMBER(I21/B21),I21/B21," - ")</f>
        <v>811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R51KUsK6KaN14jKTShkU7wIbBCNP+ZfRGg7KkIGKsREoWqxjy+1KEMrFya5LJBCvtDtGWlqlVZMudTPbDtT6g==" saltValue="9OU2L2vZvXOzr8cY/TK6P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LLERENA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962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v>
      </c>
      <c r="AM12" s="811">
        <f>IF(ISNUMBER(Datos!N12+DatosP!N17),Datos!N12+DatosP!N17," - ")</f>
        <v>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13.14782608695652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-2.434077079107505E-2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32</v>
      </c>
      <c r="AE14" s="1086">
        <f t="shared" si="1"/>
        <v>0</v>
      </c>
      <c r="AF14" s="1086">
        <f t="shared" si="1"/>
        <v>3</v>
      </c>
      <c r="AG14" s="1086">
        <f t="shared" si="1"/>
        <v>0</v>
      </c>
      <c r="AH14" s="1086">
        <f t="shared" si="1"/>
        <v>962</v>
      </c>
      <c r="AI14" s="1086">
        <f t="shared" si="1"/>
        <v>0</v>
      </c>
      <c r="AJ14" s="1086">
        <f t="shared" si="1"/>
        <v>0</v>
      </c>
      <c r="AK14" s="1086">
        <f t="shared" si="1"/>
        <v>0</v>
      </c>
      <c r="AL14" s="1086">
        <f t="shared" si="1"/>
        <v>29</v>
      </c>
      <c r="AM14" s="1086">
        <f t="shared" si="1"/>
        <v>82</v>
      </c>
      <c r="AN14" s="1086">
        <f t="shared" si="1"/>
        <v>0</v>
      </c>
      <c r="AO14" s="1086">
        <f t="shared" si="1"/>
        <v>0</v>
      </c>
      <c r="AP14" s="1091">
        <f>IF(ISNUMBER(((Datos!L14/Datos!K14)*11)/factor_trimestre),((Datos!L14/Datos!K14)*11)/factor_trimestre," - ")</f>
        <v>16.896551724137929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-2.434077079107505E-2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5.0109890109890118</v>
      </c>
      <c r="AQ20" s="1091">
        <f>IF(ISNUMBER(((Datos!M20/Datos!L20)*11)/factor_trimestre),((Datos!M20/Datos!L20)*11)/factor_trimestre," - ")</f>
        <v>0.31578947368421056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0.30952380952380953</v>
      </c>
      <c r="AW20" s="1093">
        <f>IF(ISNUMBER((Datos!Q20-Datos!R20)/(Datos!S20-Datos!Q20+Datos!R20)),(Datos!Q20-Datos!R20)/(Datos!S20-Datos!Q20+Datos!R20)," - ")</f>
        <v>-0.32544378698224852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32</v>
      </c>
      <c r="AE21" s="1104">
        <f t="shared" si="5"/>
        <v>0</v>
      </c>
      <c r="AF21" s="1105">
        <f t="shared" si="5"/>
        <v>3</v>
      </c>
      <c r="AG21" s="1105">
        <f t="shared" si="5"/>
        <v>0</v>
      </c>
      <c r="AH21" s="1105">
        <f t="shared" si="5"/>
        <v>962</v>
      </c>
      <c r="AI21" s="1105">
        <f t="shared" si="5"/>
        <v>0</v>
      </c>
      <c r="AJ21" s="1106">
        <f t="shared" si="5"/>
        <v>0</v>
      </c>
      <c r="AK21" s="1106">
        <f t="shared" si="5"/>
        <v>0</v>
      </c>
      <c r="AL21" s="1098">
        <f t="shared" si="5"/>
        <v>29</v>
      </c>
      <c r="AM21" s="1098">
        <f t="shared" si="5"/>
        <v>82</v>
      </c>
      <c r="AN21" s="1098">
        <f t="shared" si="5"/>
        <v>0</v>
      </c>
      <c r="AO21" s="1098">
        <f t="shared" si="5"/>
        <v>0</v>
      </c>
      <c r="AP21" s="1098">
        <f>IF(ISNUMBER(((Datos!L21/Datos!K21)*11)/factor_trimestre),((Datos!L21/Datos!K21)*11)/factor_trimestre," - ")</f>
        <v>8.8550185873605951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-1.0700389105058366E-2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16.743157806499145</v>
      </c>
      <c r="AM23" s="870"/>
      <c r="AN23" s="870">
        <f>IF(ISNUMBER(STDEV(AN8:AN20)),STDEV(AN8:AN20),"-")</f>
        <v>0</v>
      </c>
      <c r="AO23" s="876">
        <f>IF(ISNUMBER(STDEV(AO8:AO20)),STDEV(AO8:AO20),"-")</f>
        <v>0</v>
      </c>
      <c r="AP23" s="923">
        <f>IF(ISNUMBER(STDEV(AP8:AP20)),STDEV(AP8:AP20),"-")</f>
        <v>6.0762881009145762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DRXIBUr5HBLlJRnQ5SBhYmghlpBbzxmg8RHwmA94mPmnjIkc8PLE/WElh8QFiIFqjbxS3QUnyBVX+vuKs8o8w==" saltValue="mHEcK9ZgKRy4U20CoVOQ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LLERENA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B/AlPf4ohWvTt6h/WmT6GCqiTUJwH2yjT37sqdzo5uTx3DV1Lpnl6Y1DELK+eh1VfrPhzcSafbXMKe5w9VNJQ==" saltValue="7AI2aQKPAuwVxOzp2TrEt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LLERENA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29</v>
      </c>
      <c r="E12" s="416">
        <f t="shared" si="0"/>
        <v>29</v>
      </c>
      <c r="F12" s="415">
        <f>IF(ISNUMBER(Datos!N12),Datos!N12," - ")</f>
        <v>82</v>
      </c>
      <c r="G12" s="416">
        <f t="shared" si="1"/>
        <v>82</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29</v>
      </c>
      <c r="E14" s="997">
        <f t="shared" si="0"/>
        <v>14.5</v>
      </c>
      <c r="F14" s="996">
        <f>SUBTOTAL(9,F9:F13)</f>
        <v>82</v>
      </c>
      <c r="G14" s="997">
        <f t="shared" si="1"/>
        <v>41</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28</v>
      </c>
      <c r="E17" s="416">
        <f t="shared" si="3"/>
        <v>28</v>
      </c>
      <c r="F17" s="415">
        <f>IF(ISNUMBER(Datos!N17),Datos!N17," - ")</f>
        <v>103</v>
      </c>
      <c r="G17" s="416">
        <f t="shared" si="4"/>
        <v>103</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32</v>
      </c>
      <c r="E20" s="997">
        <f t="shared" si="3"/>
        <v>16</v>
      </c>
      <c r="F20" s="996">
        <f>SUBTOTAL(9,F16:F19)</f>
        <v>110</v>
      </c>
      <c r="G20" s="997">
        <f t="shared" si="4"/>
        <v>55</v>
      </c>
      <c r="H20" s="996">
        <f>SUBTOTAL(9,H16:H19)</f>
        <v>0</v>
      </c>
      <c r="I20" s="997">
        <f>IF(ISNUMBER(H20/B20),H20/B20," - ")</f>
        <v>0</v>
      </c>
    </row>
    <row r="21" spans="1:9" ht="14.25" thickTop="1" thickBot="1">
      <c r="A21" s="940" t="str">
        <f>Datos!A21</f>
        <v>TOTAL JURISDICCIONES</v>
      </c>
      <c r="B21" s="941">
        <f>Datos!AP21</f>
        <v>1</v>
      </c>
      <c r="C21" s="941">
        <f>Datos!AR21</f>
        <v>1</v>
      </c>
      <c r="D21" s="941">
        <f>SUBTOTAL(9,D8:D20)</f>
        <v>61</v>
      </c>
      <c r="E21" s="942">
        <f>IF(ISNUMBER(D21/B21),D21/B21," - ")</f>
        <v>61</v>
      </c>
      <c r="F21" s="941">
        <f>SUBTOTAL(9,F8:F20)</f>
        <v>192</v>
      </c>
      <c r="G21" s="942">
        <f>IF(ISNUMBER(F21/B21),F21/B21," - ")</f>
        <v>192</v>
      </c>
      <c r="H21" s="941">
        <f>SUBTOTAL(9,H8:H20)</f>
        <v>0</v>
      </c>
      <c r="I21" s="942">
        <f>IF(ISNUMBER(H21/B21),H21/B21," - ")</f>
        <v>0</v>
      </c>
    </row>
    <row r="24" spans="1:9">
      <c r="A24" s="403" t="str">
        <f>Criterios!A4</f>
        <v>Fecha Informe: 06 jun. 2023</v>
      </c>
    </row>
    <row r="29" spans="1:9">
      <c r="A29" s="426"/>
    </row>
  </sheetData>
  <sheetProtection algorithmName="SHA-512" hashValue="lqtCmyJ1BLmHqYkDU9ywhF0dRoYPFU5An4w6Yq0oTvIXI0sR6ck4mTB6K7gbpsEJkFPz+DvyAlfIXnusy8Ti3A==" saltValue="1yp4oiZfqofqKAcoU4+v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LLERENA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v>
      </c>
      <c r="C12" s="451">
        <f>IF(ISNUMBER(Datos!Q12),Datos!Q12," - ")</f>
        <v>32</v>
      </c>
      <c r="D12" s="420">
        <f>IF(ISNUMBER(Datos!R12),Datos!R12," - ")</f>
        <v>962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v>
      </c>
      <c r="C14" s="1000">
        <f>SUBTOTAL(9,C9:C13)</f>
        <v>32</v>
      </c>
      <c r="D14" s="998">
        <f>SUBTOTAL(9,D9:D13)</f>
        <v>962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0</v>
      </c>
      <c r="D17" s="420">
        <f>IF(ISNUMBER(Datos!R17),Datos!R17," - ")</f>
        <v>54</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0</v>
      </c>
      <c r="D20" s="998">
        <f>SUBTOTAL(9,D16:D19)</f>
        <v>55</v>
      </c>
    </row>
    <row r="21" spans="1:4" ht="16.5" customHeight="1" thickTop="1" thickBot="1">
      <c r="A21" s="940" t="str">
        <f>Datos!A21</f>
        <v>TOTAL JURISDICCIONES</v>
      </c>
      <c r="B21" s="945">
        <f>SUBTOTAL(9,B8:B20)</f>
        <v>21</v>
      </c>
      <c r="C21" s="946">
        <f>SUBTOTAL(9,C8:C20)</f>
        <v>32</v>
      </c>
      <c r="D21" s="947">
        <f>SUBTOTAL(9,D8:D20)</f>
        <v>1017</v>
      </c>
    </row>
    <row r="22" spans="1:4" ht="7.5" customHeight="1"/>
    <row r="23" spans="1:4" ht="6" customHeight="1"/>
    <row r="24" spans="1:4">
      <c r="A24" s="403" t="str">
        <f>Criterios!A4</f>
        <v>Fecha Informe: 06 jun. 2023</v>
      </c>
    </row>
    <row r="29" spans="1:4">
      <c r="A29" s="426"/>
    </row>
  </sheetData>
  <sheetProtection algorithmName="SHA-512" hashValue="XYlaQjvp+S3Dki+EYpKjjpD/ocN4eDFovImzQ6ICXIR+cvbCDzag9o2ji2olfM7MJsj7v3RlzXRg9bUatY4PEA==" saltValue="qWCob7AvPdlsZKrDs+0G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LLERENA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v>
      </c>
      <c r="D10" s="473">
        <f>IF(ISNUMBER((Datos!K10-Datos!U10)/Datos!U10),(Datos!K10-Datos!U10)/Datos!U10," - ")</f>
        <v>-1</v>
      </c>
      <c r="E10" s="473">
        <f>IF(ISNUMBER((Datos!L10-Datos!V10)/Datos!V10),(Datos!L10-Datos!V10)/Datos!V10," - ")</f>
        <v>2</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0.24553571428571427</v>
      </c>
      <c r="C12" s="473">
        <f>IF(ISNUMBER(
   IF(J_V="SI",(Datos!J12-Datos!T12)/Datos!T12,(Datos!J12+Datos!Z12-(Datos!T12+Datos!AH12))/(Datos!T12+Datos!AH12))
     ),IF(J_V="SI",(Datos!J12-Datos!T12)/Datos!T12,(Datos!J12+Datos!Z12-(Datos!T12+Datos!AH12))/(Datos!T12+Datos!AH12))," - ")</f>
        <v>-0.57042253521126762</v>
      </c>
      <c r="D12" s="473">
        <f>IF(ISNUMBER(
   IF(J_V="SI",(Datos!K12-Datos!U12)/Datos!U12,(Datos!K12+Datos!AA12-(Datos!U12+Datos!AI12))/(Datos!U12+Datos!AI12))
     ),IF(J_V="SI",(Datos!K12-Datos!U12)/Datos!U12,(Datos!K12+Datos!AA12-(Datos!U12+Datos!AI12))/(Datos!U12+Datos!AI12))," - ")</f>
        <v>-0.50431034482758619</v>
      </c>
      <c r="E12" s="473">
        <f>IF(ISNUMBER(
   IF(J_V="SI",(Datos!L12-Datos!V12)/Datos!V12,(Datos!L12+Datos!AB12-(Datos!V12+Datos!AJ12))/(Datos!V12+Datos!AJ12))
     ),IF(J_V="SI",(Datos!L12-Datos!V12)/Datos!V12,(Datos!L12+Datos!AB12-(Datos!V12+Datos!AJ12))/(Datos!V12+Datos!AJ12))," - ")</f>
        <v>0.40782122905027934</v>
      </c>
      <c r="F12" s="473">
        <f>IF(ISNUMBER((Datos!M12-Datos!W12)/Datos!W12),(Datos!M12-Datos!W12)/Datos!W12," - ")</f>
        <v>-0.52459016393442626</v>
      </c>
      <c r="G12" s="474">
        <f>IF(ISNUMBER((Datos!N12-Datos!X12)/Datos!X12),(Datos!N12-Datos!X12)/Datos!X12," - ")</f>
        <v>-8.8888888888888892E-2</v>
      </c>
      <c r="H12" s="472">
        <f>IF(ISNUMBER(((NºAsuntos!G12/NºAsuntos!E12)-Datos!BD12)/Datos!BD12),((NºAsuntos!G12/NºAsuntos!E12)-Datos!BD12)/Datos!BD12," - ")</f>
        <v>0.15390050876201247</v>
      </c>
      <c r="I12" s="473">
        <f>IF(ISNUMBER(((NºAsuntos!I12/NºAsuntos!G12)-Datos!BE12)/Datos!BE12),((NºAsuntos!I12/NºAsuntos!G12)-Datos!BE12)/Datos!BE12," - ")</f>
        <v>1.8401263055623023</v>
      </c>
      <c r="J12" s="478">
        <f>IF(ISNUMBER((('Resol  Asuntos'!D12/NºAsuntos!G12)-Datos!BF12)/Datos!BF12),(('Resol  Asuntos'!D12/NºAsuntos!G12)-Datos!BF12)/Datos!BF12," - ")</f>
        <v>-0.34995169082125605</v>
      </c>
      <c r="K12" s="479">
        <f>IF(ISNUMBER((((NºAsuntos!C12+NºAsuntos!E12)/NºAsuntos!G12)-Datos!BG12)/Datos!BG12),(((NºAsuntos!C12+NºAsuntos!E12)/NºAsuntos!G12)-Datos!BG12)/Datos!BG12," - ")</f>
        <v>1.1165512159174649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0.24721603563474387</v>
      </c>
      <c r="C14" s="1002">
        <f>IF(ISNUMBER(
   IF(J_V="SI",(Datos!J14-Datos!T14)/Datos!T14,(Datos!J14+Datos!Z14-(Datos!T14+Datos!AH14))/(Datos!T14+Datos!AH14))
     ),IF(J_V="SI",(Datos!J14-Datos!T14)/Datos!T14,(Datos!J14+Datos!Z14-(Datos!T14+Datos!AH14))/(Datos!T14+Datos!AH14))," - ")</f>
        <v>-0.56643356643356646</v>
      </c>
      <c r="D14" s="1002">
        <f>IF(ISNUMBER(
   IF(J_V="SI",(Datos!K14-Datos!U14)/Datos!U14,(Datos!K14+Datos!AA14-(Datos!U14+Datos!AI14))/(Datos!U14+Datos!AI14))
     ),IF(J_V="SI",(Datos!K14-Datos!U14)/Datos!U14,(Datos!K14+Datos!AA14-(Datos!U14+Datos!AI14))/(Datos!U14+Datos!AI14))," - ")</f>
        <v>-0.50643776824034337</v>
      </c>
      <c r="E14" s="1002">
        <f>IF(ISNUMBER(
   IF(J_V="SI",(Datos!L14-Datos!V14)/Datos!V14,(Datos!L14+Datos!AB14-(Datos!V14+Datos!AJ14))/(Datos!V14+Datos!AJ14))
     ),IF(J_V="SI",(Datos!L14-Datos!V14)/Datos!V14,(Datos!L14+Datos!AB14-(Datos!V14+Datos!AJ14))/(Datos!V14+Datos!AJ14))," - ")</f>
        <v>0.41225626740947074</v>
      </c>
      <c r="F14" s="1003">
        <f>IF(ISNUMBER((Datos!M14-Datos!W14)/Datos!W14),(Datos!M14-Datos!W14)/Datos!W14," - ")</f>
        <v>-0.532258064516129</v>
      </c>
      <c r="G14" s="1004">
        <f>IF(ISNUMBER((Datos!N14-Datos!X14)/Datos!X14),(Datos!N14-Datos!X14)/Datos!X14," - ")</f>
        <v>-8.8888888888888892E-2</v>
      </c>
      <c r="H14" s="1004">
        <f>IF(ISNUMBER(((NºAsuntos!G14/NºAsuntos!E14)-Datos!BD14)/Datos!BD14),((NºAsuntos!G14/NºAsuntos!E14)-Datos!BD14)/Datos!BD14," - ")</f>
        <v>0.13837740551017577</v>
      </c>
      <c r="I14" s="1004">
        <f>IF(ISNUMBER(((NºAsuntos!I14/NºAsuntos!G14)-Datos!BE14)/Datos!BE14),((NºAsuntos!I14/NºAsuntos!G14)-Datos!BE14)/Datos!BE14," - ")</f>
        <v>1.861354002664406</v>
      </c>
      <c r="J14" s="1004">
        <f>IF(ISNUMBER((('Resol  Asuntos'!D14/NºAsuntos!G14)-Datos!BF14)/Datos!BF14),(('Resol  Asuntos'!D14/NºAsuntos!G14)-Datos!BF14)/Datos!BF14," - ")</f>
        <v>-0.35432393693263264</v>
      </c>
      <c r="K14" s="1004">
        <f>IF(ISNUMBER((((NºAsuntos!C14+NºAsuntos!E14)/NºAsuntos!G14)-Datos!BG14)/Datos!BG14),(((NºAsuntos!C14+NºAsuntos!E14)/NºAsuntos!G14)-Datos!BG14)/Datos!BG14," - ")</f>
        <v>1.1287602820211518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1.0092592592592593</v>
      </c>
      <c r="C17" s="473">
        <f>IF(ISNUMBER(
   IF(D_I="SI",(Datos!J17-Datos!T17)/Datos!T17,(Datos!J17+Datos!AD17-(Datos!T17+Datos!AL17))/(Datos!T17+Datos!AL17))
     ),IF(D_I="SI",(Datos!J17-Datos!T17)/Datos!T17,(Datos!J17+Datos!AD17-(Datos!T17+Datos!AL17))/(Datos!T17+Datos!AL17))," - ")</f>
        <v>-0.11552346570397112</v>
      </c>
      <c r="D17" s="473">
        <f>IF(ISNUMBER(
   IF(D_I="SI",(Datos!K17-Datos!U17)/Datos!U17,(Datos!K17+Datos!AE17-(Datos!U17+Datos!AM17))/(Datos!U17+Datos!AM17))
     ),IF(D_I="SI",(Datos!K17-Datos!U17)/Datos!U17,(Datos!K17+Datos!AE17-(Datos!U17+Datos!AM17))/(Datos!U17+Datos!AM17))," - ")</f>
        <v>-0.38652482269503546</v>
      </c>
      <c r="E17" s="473">
        <f>IF(ISNUMBER(
   IF(D_I="SI",(Datos!L17-Datos!V17)/Datos!V17,(Datos!L17+Datos!AF17-(Datos!V17+Datos!AN17))/(Datos!V17+Datos!AN17))
     ),IF(D_I="SI",(Datos!L17-Datos!V17)/Datos!V17,(Datos!L17+Datos!AF17-(Datos!V17+Datos!AN17))/(Datos!V17+Datos!AN17))," - ")</f>
        <v>1.7009345794392523</v>
      </c>
      <c r="F17" s="473">
        <f>IF(ISNUMBER((Datos!M17-Datos!W17)/Datos!W17),(Datos!M17-Datos!W17)/Datos!W17," - ")</f>
        <v>0.4</v>
      </c>
      <c r="G17" s="474">
        <f>IF(ISNUMBER((Datos!N17-Datos!X17)/Datos!X17),(Datos!N17-Datos!X17)/Datos!X17," - ")</f>
        <v>-0.50717703349282295</v>
      </c>
      <c r="H17" s="472">
        <f>IF(ISNUMBER(((NºAsuntos!G17/NºAsuntos!E17)-Datos!BD17)/Datos!BD17),((NºAsuntos!G17/NºAsuntos!E17)-Datos!BD17)/Datos!BD17," - ")</f>
        <v>-0.3063974525980605</v>
      </c>
      <c r="I17" s="473">
        <f>IF(ISNUMBER(((NºAsuntos!I17/NºAsuntos!G17)-Datos!BE17)/Datos!BE17),((NºAsuntos!I17/NºAsuntos!G17)-Datos!BE17)/Datos!BE17," - ")</f>
        <v>3.4026794878720765</v>
      </c>
      <c r="J17" s="478">
        <f>IF(ISNUMBER((('Resol  Asuntos'!D17/NºAsuntos!G17)-Datos!BF17)/Datos!BF17),(('Resol  Asuntos'!D17/NºAsuntos!G17)-Datos!BF17)/Datos!BF17," - ")</f>
        <v>1.2820809248554912</v>
      </c>
      <c r="K17" s="479">
        <f>IF(ISNUMBER((((NºAsuntos!C17+NºAsuntos!E17)/NºAsuntos!G17)-Datos!BG17)/Datos!BG17),(((NºAsuntos!C17+NºAsuntos!E17)/NºAsuntos!G17)-Datos!BG17)/Datos!BG17," - ")</f>
        <v>0.95606936416184973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1.5</v>
      </c>
      <c r="C18" s="473">
        <f>IF(ISNUMBER(
   IF(D_I="SI",(Datos!J18-Datos!T18)/Datos!T18,(Datos!J18+Datos!AD18-(Datos!T18+Datos!AL18))/(Datos!T18+Datos!AL18))
     ),IF(D_I="SI",(Datos!J18-Datos!T18)/Datos!T18,(Datos!J18+Datos!AD18-(Datos!T18+Datos!AL18))/(Datos!T18+Datos!AL18))," - ")</f>
        <v>-0.30769230769230771</v>
      </c>
      <c r="D18" s="473">
        <f>IF(ISNUMBER(
   IF(D_I="SI",(Datos!K18-Datos!U18)/Datos!U18,(Datos!K18+Datos!AE18-(Datos!U18+Datos!AM18))/(Datos!U18+Datos!AM18))
     ),IF(D_I="SI",(Datos!K18-Datos!U18)/Datos!U18,(Datos!K18+Datos!AE18-(Datos!U18+Datos!AM18))/(Datos!U18+Datos!AM18))," - ")</f>
        <v>-0.18181818181818182</v>
      </c>
      <c r="E18" s="473">
        <f>IF(ISNUMBER(
   IF(D_I="SI",(Datos!L18-Datos!V18)/Datos!V18,(Datos!L18+Datos!AF18-(Datos!V18+Datos!AN18))/(Datos!V18+Datos!AN18))
     ),IF(D_I="SI",(Datos!L18-Datos!V18)/Datos!V18,(Datos!L18+Datos!AF18-(Datos!V18+Datos!AN18))/(Datos!V18+Datos!AN18))," - ")</f>
        <v>0.875</v>
      </c>
      <c r="F18" s="473">
        <f>IF(ISNUMBER((Datos!M18-Datos!W18)/Datos!W18),(Datos!M18-Datos!W18)/Datos!W18," - ")</f>
        <v>0.33333333333333331</v>
      </c>
      <c r="G18" s="474">
        <f>IF(ISNUMBER((Datos!N18-Datos!X18)/Datos!X18),(Datos!N18-Datos!X18)/Datos!X18," - ")</f>
        <v>0</v>
      </c>
      <c r="H18" s="472">
        <f>IF(ISNUMBER(((NºAsuntos!G18/NºAsuntos!E18)-Datos!BD18)/Datos!BD18),((NºAsuntos!G18/NºAsuntos!E18)-Datos!BD18)/Datos!BD18," - ")</f>
        <v>0.18181818181818182</v>
      </c>
      <c r="I18" s="473">
        <f>IF(ISNUMBER(((NºAsuntos!I18/NºAsuntos!G18)-Datos!BE18)/Datos!BE18),((NºAsuntos!I18/NºAsuntos!G18)-Datos!BE18)/Datos!BE18," - ")</f>
        <v>1.2916666666666667</v>
      </c>
      <c r="J18" s="478">
        <f>IF(ISNUMBER((('Resol  Asuntos'!D18/NºAsuntos!G18)-Datos!BF18)/Datos!BF18),(('Resol  Asuntos'!D18/NºAsuntos!G18)-Datos!BF18)/Datos!BF18," - ")</f>
        <v>0.62962962962962965</v>
      </c>
      <c r="K18" s="479">
        <f>IF(ISNUMBER((((NºAsuntos!C18+NºAsuntos!E18)/NºAsuntos!G18)-Datos!BG18)/Datos!BG18),(((NºAsuntos!C18+NºAsuntos!E18)/NºAsuntos!G18)-Datos!BG18)/Datos!BG18," - ")</f>
        <v>0.54385964912280693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1.0350877192982457</v>
      </c>
      <c r="C20" s="1002">
        <f>IF(ISNUMBER(
   IF(Criterios!B14="SI",(Datos!J20-Datos!T20)/Datos!T20,(Datos!J20+Datos!AD20-(Datos!T20+Datos!AL20))/(Datos!T20+Datos!AL20))
     ),IF(Criterios!B14="SI",(Datos!J20-Datos!T20)/Datos!T20,(Datos!J20+Datos!AD20-(Datos!T20+Datos!AL20))/(Datos!T20+Datos!AL20))," - ")</f>
        <v>-0.12413793103448276</v>
      </c>
      <c r="D20" s="1002">
        <f>IF(ISNUMBER(
   IF(Criterios!B14="SI",(Datos!K20-Datos!U20)/Datos!U20,(Datos!K20+Datos!AE20-(Datos!U20+Datos!AM20))/(Datos!U20+Datos!AM20))
     ),IF(Criterios!B14="SI",(Datos!K20-Datos!U20)/Datos!U20,(Datos!K20+Datos!AE20-(Datos!U20+Datos!AM20))/(Datos!U20+Datos!AM20))," - ")</f>
        <v>-0.37883959044368598</v>
      </c>
      <c r="E20" s="1002">
        <f>IF(ISNUMBER(
   IF(Criterios!B14="SI",(Datos!L20-Datos!V20)/Datos!V20,(Datos!L20+Datos!AF20-(Datos!V20+Datos!AN20))/(Datos!V20+Datos!AN20))
     ),IF(Criterios!B14="SI",(Datos!L20-Datos!V20)/Datos!V20,(Datos!L20+Datos!AF20-(Datos!V20+Datos!AN20))/(Datos!V20+Datos!AN20))," - ")</f>
        <v>1.6434782608695653</v>
      </c>
      <c r="F20" s="1003">
        <f>IF(ISNUMBER((Datos!M20-Datos!W20)/Datos!W20),(Datos!M20-Datos!W20)/Datos!W20," - ")</f>
        <v>0.39130434782608697</v>
      </c>
      <c r="G20" s="1004">
        <f>IF(ISNUMBER((Datos!N20-Datos!X20)/Datos!X20),(Datos!N20-Datos!X20)/Datos!X20," - ")</f>
        <v>-0.49074074074074076</v>
      </c>
      <c r="H20" s="1004">
        <f>IF(ISNUMBER(((NºAsuntos!G20/NºAsuntos!E20)-Datos!BD20)/Datos!BD20),((NºAsuntos!G20/NºAsuntos!E20)-Datos!BD20)/Datos!BD20," - ")</f>
        <v>-0.29080110719948399</v>
      </c>
      <c r="I20" s="1004">
        <f>IF(ISNUMBER(((NºAsuntos!I20/NºAsuntos!G20)-Datos!BE20)/Datos!BE20),((NºAsuntos!I20/NºAsuntos!G20)-Datos!BE20)/Datos!BE20," - ")</f>
        <v>3.2557095078834206</v>
      </c>
      <c r="J20" s="1004">
        <f>IF(ISNUMBER((('Resol  Asuntos'!D20/NºAsuntos!G20)-Datos!BF20)/Datos!BF20),(('Resol  Asuntos'!D20/NºAsuntos!G20)-Datos!BF20)/Datos!BF20," - ")</f>
        <v>1.2398471094123269</v>
      </c>
      <c r="K20" s="1004">
        <f>IF(ISNUMBER((((NºAsuntos!C20+NºAsuntos!E20)/NºAsuntos!G20)-Datos!BG20)/Datos!BG20),(((NºAsuntos!C20+NºAsuntos!E20)/NºAsuntos!G20)-Datos!BG20)/Datos!BG20," - ")</f>
        <v>0.93664998367968644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0.40674955595026641</v>
      </c>
      <c r="C21" s="949">
        <f>IF(ISNUMBER(
   IF(J_V="SI",(Datos!J21-Datos!T21)/Datos!T21,(Datos!J21+Datos!Z21-(Datos!T21+Datos!AH21))/(Datos!T21+Datos!AH21))
     ),IF(J_V="SI",(Datos!J21-Datos!T21)/Datos!T21,(Datos!J21+Datos!Z21-(Datos!T21+Datos!AH21))/(Datos!T21+Datos!AH21))," - ")</f>
        <v>-0.2702078521939954</v>
      </c>
      <c r="D21" s="949">
        <f>IF(ISNUMBER(
   IF(J_V="SI",(Datos!K21-Datos!U21)/Datos!U21,(Datos!K21+Datos!AA21-(Datos!U21+Datos!AI21))/(Datos!U21+Datos!AI21))
     ),IF(J_V="SI",(Datos!K21-Datos!U21)/Datos!U21,(Datos!K21+Datos!AA21-(Datos!U21+Datos!AI21))/(Datos!U21+Datos!AI21))," - ")</f>
        <v>-0.43536121673003803</v>
      </c>
      <c r="E21" s="949">
        <f>IF(ISNUMBER(
   IF(J_V="SI",(Datos!L21-Datos!V21)/Datos!V21,(Datos!L21+Datos!AB21-(Datos!V21+Datos!AJ21))/(Datos!V21+Datos!AJ21))
     ),IF(J_V="SI",(Datos!L21-Datos!V21)/Datos!V21,(Datos!L21+Datos!AB21-(Datos!V21+Datos!AJ21))/(Datos!V21+Datos!AJ21))," - ")</f>
        <v>0.71097046413502107</v>
      </c>
      <c r="F21" s="950">
        <f>IF(ISNUMBER((Datos!M21-Datos!W21)/Datos!W21),(Datos!M21-Datos!W21)/Datos!W21," - ")</f>
        <v>-0.28235294117647058</v>
      </c>
      <c r="G21" s="951">
        <f>IF(ISNUMBER((Datos!N21-Datos!X21)/Datos!X21),(Datos!N21-Datos!X21)/Datos!X21," - ")</f>
        <v>-0.37254901960784315</v>
      </c>
      <c r="H21" s="952">
        <f>IF(ISNUMBER((Tasas!B21-Datos!BD21)/Datos!BD21),(Tasas!B21-Datos!BD21)/Datos!BD21," - ")</f>
        <v>-0.22630192039274194</v>
      </c>
      <c r="I21" s="953">
        <f>IF(ISNUMBER((Tasas!C21-Datos!BE21)/Datos!BE21),(Tasas!C21-Datos!BE21)/Datos!BE21," - ")</f>
        <v>2.0302035829461986</v>
      </c>
      <c r="J21" s="954">
        <f>IF(ISNUMBER((Tasas!D21-Datos!BF21)/Datos!BF21),(Tasas!D21-Datos!BF21)/Datos!BF21," - ")</f>
        <v>-5.2336227774824197E-2</v>
      </c>
      <c r="K21" s="954">
        <f>IF(ISNUMBER((Tasas!E21-Datos!BG21)/Datos!BG21),(Tasas!E21-Datos!BG21)/Datos!BG21," - ")</f>
        <v>0.97019728746636369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dblqkj5Es8RkBCj7JRyyRimKNu0fiYEFdB6t+OGqM+4RMZjwvKxGq3y9vE4saueIZNOK+5Ram5ZtOsFChAiwQ==" saltValue="8nOKro0GXJO8aPCJJfQci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LLERENA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1.8852459016393444</v>
      </c>
      <c r="C12" s="460">
        <f>IF(ISNUMBER(NºAsuntos!I12/NºAsuntos!G12),NºAsuntos!I12/NºAsuntos!G12," - ")</f>
        <v>4.3826086956521735</v>
      </c>
      <c r="D12" s="461">
        <f>IF(ISNUMBER('Resol  Asuntos'!D12/NºAsuntos!G12),'Resol  Asuntos'!D12/NºAsuntos!G12," - ")</f>
        <v>0.25217391304347825</v>
      </c>
      <c r="E12" s="462">
        <f>IF(ISNUMBER((NºAsuntos!C12+NºAsuntos!E12)/NºAsuntos!G12),(NºAsuntos!C12+NºAsuntos!E12)/NºAsuntos!G12," - ")</f>
        <v>5.3826086956521735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1.8548387096774193</v>
      </c>
      <c r="C14" s="1006">
        <f>IF(ISNUMBER(NºAsuntos!I14/NºAsuntos!G14),NºAsuntos!I14/NºAsuntos!G14," - ")</f>
        <v>4.4086956521739129</v>
      </c>
      <c r="D14" s="1007">
        <f>IF(ISNUMBER('Resol  Asuntos'!D14/NºAsuntos!G14),'Resol  Asuntos'!D14/NºAsuntos!G14," - ")</f>
        <v>0.25217391304347825</v>
      </c>
      <c r="E14" s="1008">
        <f>IF(ISNUMBER((NºAsuntos!C14+NºAsuntos!E14)/NºAsuntos!G14),(NºAsuntos!C14+NºAsuntos!E14)/NºAsuntos!G14," - ")</f>
        <v>5.4086956521739129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0.70612244897959187</v>
      </c>
      <c r="C17" s="460">
        <f>IF(ISNUMBER(NºAsuntos!I17/NºAsuntos!G17),NºAsuntos!I17/NºAsuntos!G17," - ")</f>
        <v>1.6705202312138729</v>
      </c>
      <c r="D17" s="461">
        <f>IF(ISNUMBER('Resol  Asuntos'!D17/NºAsuntos!G17),'Resol  Asuntos'!D17/NºAsuntos!G17," - ")</f>
        <v>0.16184971098265896</v>
      </c>
      <c r="E17" s="462">
        <f>IF(ISNUMBER((NºAsuntos!C17+NºAsuntos!E17)/NºAsuntos!G17),(NºAsuntos!C17+NºAsuntos!E17)/NºAsuntos!G17," - ")</f>
        <v>2.6705202312138727</v>
      </c>
      <c r="G17" s="480"/>
    </row>
    <row r="18" spans="1:7">
      <c r="A18" s="414" t="str">
        <f>Datos!A18</f>
        <v>Jdos. Violencia contra la mujer</v>
      </c>
      <c r="B18" s="459">
        <f>IF(ISNUMBER(NºAsuntos!G18/NºAsuntos!E18),NºAsuntos!G18/NºAsuntos!E18," - ")</f>
        <v>1</v>
      </c>
      <c r="C18" s="460">
        <f>IF(ISNUMBER(NºAsuntos!I18/NºAsuntos!G18),NºAsuntos!I18/NºAsuntos!G18," - ")</f>
        <v>1.6666666666666667</v>
      </c>
      <c r="D18" s="461">
        <f>IF(ISNUMBER('Resol  Asuntos'!D18/NºAsuntos!G18),'Resol  Asuntos'!D18/NºAsuntos!G18," - ")</f>
        <v>0.44444444444444442</v>
      </c>
      <c r="E18" s="462">
        <f>IF(ISNUMBER((NºAsuntos!C18+NºAsuntos!E18)/NºAsuntos!G18),(NºAsuntos!C18+NºAsuntos!E18)/NºAsuntos!G18," - ")</f>
        <v>2.6666666666666665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0.71653543307086609</v>
      </c>
      <c r="C20" s="1006">
        <f>IF(ISNUMBER(NºAsuntos!I20/NºAsuntos!G20),NºAsuntos!I20/NºAsuntos!G20," - ")</f>
        <v>1.6703296703296704</v>
      </c>
      <c r="D20" s="1009">
        <f>IF(ISNUMBER('Resol  Asuntos'!D20/NºAsuntos!G20),'Resol  Asuntos'!D20/NºAsuntos!G20," - ")</f>
        <v>0.17582417582417584</v>
      </c>
      <c r="E20" s="1008">
        <f>IF(ISNUMBER((NºAsuntos!C20+NºAsuntos!E20)/NºAsuntos!G20),(NºAsuntos!C20+NºAsuntos!E20)/NºAsuntos!G20," - ")</f>
        <v>2.6703296703296702</v>
      </c>
      <c r="G20" s="480"/>
    </row>
    <row r="21" spans="1:7" ht="15.75" customHeight="1" thickTop="1" thickBot="1">
      <c r="A21" s="940" t="str">
        <f>Datos!A21</f>
        <v>TOTAL JURISDICCIONES</v>
      </c>
      <c r="B21" s="955">
        <f>IF(ISNUMBER(NºAsuntos!G21/NºAsuntos!E21),NºAsuntos!G21/NºAsuntos!E21," - ")</f>
        <v>0.939873417721519</v>
      </c>
      <c r="C21" s="956">
        <f>IF(ISNUMBER(NºAsuntos!I21/NºAsuntos!G21),NºAsuntos!I21/NºAsuntos!G21," - ")</f>
        <v>2.7306397306397305</v>
      </c>
      <c r="D21" s="957">
        <f>IF(ISNUMBER('Resol  Asuntos'!D21/NºAsuntos!G21),'Resol  Asuntos'!D21/NºAsuntos!G21," - ")</f>
        <v>0.2053872053872054</v>
      </c>
      <c r="E21" s="958">
        <f>IF(ISNUMBER((NºAsuntos!C21+NºAsuntos!E21)/NºAsuntos!G21),(NºAsuntos!C21+NºAsuntos!E21)/NºAsuntos!G21," - ")</f>
        <v>3.7306397306397305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69Wjv0FsHRFkf9dJnL0v5X3s6HSHmPpKrlhyjYuMK/7e21Sp1zUONIHWDkUUZYsMxDxq9RFA3DeWejwThqyvIw==" saltValue="gx+1f/MJAeyo5ZAqc+Bpq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LLERENA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32</v>
      </c>
      <c r="Y12" s="344">
        <f t="shared" si="0"/>
        <v>32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962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v>
      </c>
      <c r="AJ12" s="234" t="str">
        <f>IF(ISNUMBER(Datos!BW12),Datos!BW12," - ")</f>
        <v xml:space="preserve"> - </v>
      </c>
      <c r="AK12" s="233" t="str">
        <f>IF(ISNUMBER(Datos!BX12),Datos!BX12," - ")</f>
        <v xml:space="preserve"> - </v>
      </c>
      <c r="AL12" s="248">
        <f>IF(ISNUMBER(NºAsuntos!G12/NºAsuntos!E12),NºAsuntos!G12/NºAsuntos!E12," - ")</f>
        <v>1.8852459016393444</v>
      </c>
      <c r="AM12" s="265">
        <f>IF(ISNUMBER(((NºAsuntos!I12/NºAsuntos!G12)*11)/factor_trimestre),((NºAsuntos!I12/NºAsuntos!G12)*11)/factor_trimestre," - ")</f>
        <v>13.14782608695652</v>
      </c>
      <c r="AN12" s="249">
        <f>IF(ISNUMBER('Resol  Asuntos'!D12/NºAsuntos!G12),'Resol  Asuntos'!D12/NºAsuntos!G12," - ")</f>
        <v>0.25217391304347825</v>
      </c>
      <c r="AO12" s="250">
        <f>IF(ISNUMBER((NºAsuntos!C12+NºAsuntos!E12)/NºAsuntos!G12),(NºAsuntos!C12+NºAsuntos!E12)/NºAsuntos!G12," - ")</f>
        <v>5.3826086956521735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32</v>
      </c>
      <c r="Y14" s="1015">
        <f t="shared" si="6"/>
        <v>32</v>
      </c>
      <c r="Z14" s="1015">
        <f t="shared" si="6"/>
        <v>0</v>
      </c>
      <c r="AA14" s="1015">
        <f t="shared" si="6"/>
        <v>3</v>
      </c>
      <c r="AB14" s="1015">
        <f t="shared" si="6"/>
        <v>962</v>
      </c>
      <c r="AC14" s="1015">
        <f t="shared" si="6"/>
        <v>3</v>
      </c>
      <c r="AD14" s="1015">
        <f t="shared" si="6"/>
        <v>0</v>
      </c>
      <c r="AE14" s="1019">
        <f t="shared" si="6"/>
        <v>0</v>
      </c>
      <c r="AF14" s="1012">
        <f t="shared" si="6"/>
        <v>0</v>
      </c>
      <c r="AG14" s="1020">
        <f t="shared" si="6"/>
        <v>0</v>
      </c>
      <c r="AH14" s="1017">
        <f t="shared" si="6"/>
        <v>0</v>
      </c>
      <c r="AI14" s="1012">
        <f t="shared" si="6"/>
        <v>29</v>
      </c>
      <c r="AJ14" s="1014">
        <f t="shared" si="6"/>
        <v>0</v>
      </c>
      <c r="AK14" s="1017">
        <f>SUBTOTAL(9,AK9:AK13)</f>
        <v>0</v>
      </c>
      <c r="AL14" s="1021">
        <f>IF(ISNUMBER(NºAsuntos!G14/NºAsuntos!E14),NºAsuntos!G14/NºAsuntos!E14," - ")</f>
        <v>1.8548387096774193</v>
      </c>
      <c r="AM14" s="1021">
        <f>IF(ISNUMBER(((NºAsuntos!I14/NºAsuntos!G14)*11)/factor_trimestre),((NºAsuntos!I14/NºAsuntos!G14)*11)/factor_trimestre," - ")</f>
        <v>13.22608695652174</v>
      </c>
      <c r="AN14" s="1022">
        <f>IF(ISNUMBER('Resol  Asuntos'!D14/NºAsuntos!G14),'Resol  Asuntos'!D14/NºAsuntos!G14," - ")</f>
        <v>0.25217391304347825</v>
      </c>
      <c r="AO14" s="1023">
        <f>IF(ISNUMBER((NºAsuntos!C14+NºAsuntos!E14)/NºAsuntos!G14),(NºAsuntos!C14+NºAsuntos!E14)/NºAsuntos!G14," - ")</f>
        <v>5.4086956521739129</v>
      </c>
      <c r="AP14" s="1024" t="str">
        <f t="shared" si="2"/>
        <v xml:space="preserve"> - </v>
      </c>
      <c r="AQ14" s="1024">
        <f>IF(ISNUMBER((H14-W14+K14)/(F14)),(H14-W14+K14)/(F14)," - ")</f>
        <v>0</v>
      </c>
      <c r="AR14" s="1025">
        <f>IF(ISNUMBER((Datos!P14-Datos!Q14)/(Datos!R14-Datos!P14+Datos!Q14)),(Datos!P14-Datos!Q14)/(Datos!R14-Datos!P14+Datos!Q14)," - ")</f>
        <v>-2.434077079107505E-2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217</v>
      </c>
      <c r="G17" s="343">
        <f>IF(ISNUMBER(IF(D_I="SI",Datos!I17,Datos!I17+Datos!AC17)),IF(D_I="SI",Datos!I17,Datos!I17+Datos!AC17)," - ")</f>
        <v>217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173</v>
      </c>
      <c r="X17" s="231">
        <f>IF(ISNUMBER(Datos!Q17),Datos!Q17," - ")</f>
        <v>0</v>
      </c>
      <c r="Y17" s="344">
        <f t="shared" ref="Y17:Y19" si="9">SUM(W17:X17)</f>
        <v>173</v>
      </c>
      <c r="Z17" s="345" t="str">
        <f>IF(ISNUMBER(Datos!CC17),Datos!CC17," - ")</f>
        <v xml:space="preserve"> - </v>
      </c>
      <c r="AA17" s="342">
        <f>IF(ISNUMBER(IF(D_I="SI",Datos!L17,Datos!L17+Datos!AF17)),IF(D_I="SI",Datos!L17,Datos!L17+Datos!AF17)," - ")</f>
        <v>289</v>
      </c>
      <c r="AB17" s="344">
        <f>IF(ISNUMBER(Datos!R17),Datos!R17," - ")</f>
        <v>54</v>
      </c>
      <c r="AC17" s="344">
        <f t="shared" si="8"/>
        <v>343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0.70612244897959187</v>
      </c>
      <c r="AM17" s="265">
        <f>IF(ISNUMBER(((NºAsuntos!I17/NºAsuntos!G17)*11)/factor_trimestre),((NºAsuntos!I17/NºAsuntos!G17)*11)/factor_trimestre," - ")</f>
        <v>5.011560693641619</v>
      </c>
      <c r="AN17" s="249">
        <f>IF(ISNUMBER('Resol  Asuntos'!D17/NºAsuntos!G17),'Resol  Asuntos'!D17/NºAsuntos!G17," - ")</f>
        <v>0.16184971098265896</v>
      </c>
      <c r="AO17" s="250">
        <f>IF(ISNUMBER((NºAsuntos!C17+NºAsuntos!E17)/NºAsuntos!G17),(NºAsuntos!C17+NºAsuntos!E17)/NºAsuntos!G17," - ")</f>
        <v>2.6705202312138727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v>
      </c>
      <c r="X18" s="231">
        <f>IF(ISNUMBER(Datos!Q18),Datos!Q18," - ")</f>
        <v>0</v>
      </c>
      <c r="Y18" s="344">
        <f t="shared" si="9"/>
        <v>9</v>
      </c>
      <c r="Z18" s="345" t="str">
        <f>IF(ISNUMBER(Datos!CC18),Datos!CC18," - ")</f>
        <v xml:space="preserve"> - </v>
      </c>
      <c r="AA18" s="342">
        <f>IF(ISNUMBER(Datos!L18),Datos!L18,"-")</f>
        <v>15</v>
      </c>
      <c r="AB18" s="344">
        <f>IF(ISNUMBER(Datos!R18),Datos!R18," - ")</f>
        <v>1</v>
      </c>
      <c r="AC18" s="344">
        <f t="shared" si="8"/>
        <v>16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5.0000000000000009</v>
      </c>
      <c r="AN18" s="249">
        <f>IF(ISNUMBER('Resol  Asuntos'!D18/NºAsuntos!G18),'Resol  Asuntos'!D18/NºAsuntos!G18," - ")</f>
        <v>0.44444444444444442</v>
      </c>
      <c r="AO18" s="250">
        <f>IF(ISNUMBER((NºAsuntos!C18+NºAsuntos!E18)/NºAsuntos!G18),(NºAsuntos!C18+NºAsuntos!E18)/NºAsuntos!G18," - ")</f>
        <v>2.6666666666666665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217</v>
      </c>
      <c r="G20" s="1013">
        <f>SUBTOTAL(9,G16:G19)</f>
        <v>232</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182</v>
      </c>
      <c r="X20" s="1014">
        <f t="shared" si="13"/>
        <v>0</v>
      </c>
      <c r="Y20" s="1015">
        <f t="shared" si="13"/>
        <v>182</v>
      </c>
      <c r="Z20" s="1015">
        <f t="shared" si="13"/>
        <v>0</v>
      </c>
      <c r="AA20" s="1015">
        <f t="shared" si="13"/>
        <v>304</v>
      </c>
      <c r="AB20" s="1015">
        <f t="shared" si="13"/>
        <v>55</v>
      </c>
      <c r="AC20" s="1015">
        <f t="shared" si="13"/>
        <v>359</v>
      </c>
      <c r="AD20" s="1015">
        <f t="shared" si="13"/>
        <v>0</v>
      </c>
      <c r="AE20" s="1019">
        <f t="shared" si="13"/>
        <v>0</v>
      </c>
      <c r="AF20" s="1012">
        <f t="shared" si="13"/>
        <v>0</v>
      </c>
      <c r="AG20" s="1020">
        <f t="shared" si="13"/>
        <v>0</v>
      </c>
      <c r="AH20" s="1017">
        <f t="shared" si="13"/>
        <v>0</v>
      </c>
      <c r="AI20" s="1012">
        <f t="shared" si="13"/>
        <v>32</v>
      </c>
      <c r="AJ20" s="1014">
        <f t="shared" si="13"/>
        <v>0</v>
      </c>
      <c r="AK20" s="1017">
        <f t="shared" si="13"/>
        <v>0</v>
      </c>
      <c r="AL20" s="1021">
        <f>IF(ISNUMBER(NºAsuntos!G20/NºAsuntos!E20),NºAsuntos!G20/NºAsuntos!E20," - ")</f>
        <v>0.71653543307086609</v>
      </c>
      <c r="AM20" s="1021">
        <f>IF(ISNUMBER(((NºAsuntos!I20/NºAsuntos!G20)*11)/factor_trimestre),((NºAsuntos!I20/NºAsuntos!G20)*11)/factor_trimestre," - ")</f>
        <v>5.0109890109890118</v>
      </c>
      <c r="AN20" s="1022">
        <f>IF(ISNUMBER('Resol  Asuntos'!D20/NºAsuntos!G20),'Resol  Asuntos'!D20/NºAsuntos!G20," - ")</f>
        <v>0.17582417582417584</v>
      </c>
      <c r="AO20" s="1023">
        <f>IF(ISNUMBER((NºAsuntos!C20+NºAsuntos!E20)/NºAsuntos!G20),(NºAsuntos!C20+NºAsuntos!E20)/NºAsuntos!G20," - ")</f>
        <v>2.6703296703296702</v>
      </c>
      <c r="AP20" s="1024" t="str">
        <f t="shared" si="2"/>
        <v xml:space="preserve"> - </v>
      </c>
      <c r="AQ20" s="1024">
        <f>IF(ISNUMBER((H20-W20+K20)/(F20)),(H20-W20+K20)/(F20)," - ")</f>
        <v>-0.83870967741935487</v>
      </c>
      <c r="AR20" s="1025">
        <f>IF(ISNUMBER((Datos!P20-Datos!Q20)/(Datos!R20-Datos!P20+Datos!Q20)),(Datos!P20-Datos!Q20)/(Datos!R20-Datos!P20+Datos!Q20)," - ")</f>
        <v>0.30952380952380953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219</v>
      </c>
      <c r="G21" s="968">
        <f t="shared" si="15"/>
        <v>234</v>
      </c>
      <c r="H21" s="967">
        <f t="shared" si="15"/>
        <v>0</v>
      </c>
      <c r="I21" s="969">
        <f t="shared" si="15"/>
        <v>0</v>
      </c>
      <c r="J21" s="969">
        <f t="shared" si="15"/>
        <v>0</v>
      </c>
      <c r="K21" s="1028">
        <f t="shared" si="15"/>
        <v>0</v>
      </c>
      <c r="L21" s="969">
        <f t="shared" si="15"/>
        <v>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182</v>
      </c>
      <c r="X21" s="968">
        <f t="shared" si="16"/>
        <v>32</v>
      </c>
      <c r="Y21" s="975">
        <f t="shared" si="16"/>
        <v>214</v>
      </c>
      <c r="Z21" s="975">
        <f t="shared" si="16"/>
        <v>0</v>
      </c>
      <c r="AA21" s="975">
        <f t="shared" si="16"/>
        <v>307</v>
      </c>
      <c r="AB21" s="975">
        <f t="shared" si="16"/>
        <v>1017</v>
      </c>
      <c r="AC21" s="975">
        <f t="shared" si="16"/>
        <v>362</v>
      </c>
      <c r="AD21" s="975">
        <f t="shared" si="16"/>
        <v>0</v>
      </c>
      <c r="AE21" s="977">
        <f t="shared" si="16"/>
        <v>0</v>
      </c>
      <c r="AF21" s="978">
        <f t="shared" si="16"/>
        <v>0</v>
      </c>
      <c r="AG21" s="979">
        <f t="shared" si="16"/>
        <v>0</v>
      </c>
      <c r="AH21" s="977">
        <f t="shared" si="16"/>
        <v>0</v>
      </c>
      <c r="AI21" s="967">
        <f t="shared" si="16"/>
        <v>61</v>
      </c>
      <c r="AJ21" s="967">
        <f t="shared" si="16"/>
        <v>0</v>
      </c>
      <c r="AK21" s="977">
        <f t="shared" si="16"/>
        <v>0</v>
      </c>
      <c r="AL21" s="1031">
        <f>IF(ISNUMBER(NºAsuntos!G21/NºAsuntos!E21),NºAsuntos!G21/NºAsuntos!E21," - ")</f>
        <v>0.939873417721519</v>
      </c>
      <c r="AM21" s="1032">
        <f>IF(ISNUMBER(((NºAsuntos!I21/NºAsuntos!G21)*11)/factor_trimestre),((NºAsuntos!I21/NºAsuntos!G21)*11)/factor_trimestre," - ")</f>
        <v>8.191919191919192</v>
      </c>
      <c r="AN21" s="1032">
        <f>IF(ISNUMBER('Resol  Asuntos'!D21/NºAsuntos!G21),'Resol  Asuntos'!D21/NºAsuntos!G21," - ")</f>
        <v>0.2053872053872054</v>
      </c>
      <c r="AO21" s="1033">
        <f>IF(ISNUMBER((NºAsuntos!C21+NºAsuntos!E21)/NºAsuntos!G21),(NºAsuntos!C21+NºAsuntos!E21)/NºAsuntos!G21," - ")</f>
        <v>3.7306397306397305</v>
      </c>
      <c r="AP21" s="1034" t="str">
        <f t="shared" si="2"/>
        <v xml:space="preserve"> - </v>
      </c>
      <c r="AQ21" s="1035">
        <f>IF(OR(ISNUMBER(FIND("01",Criterios!A8,1)),ISNUMBER(FIND("02",Criterios!A8,1)),ISNUMBER(FIND("03",Criterios!A8,1)),ISNUMBER(FIND("04",Criterios!A8,1))),(I21-W21+K21)/(F21-K21),(H21-W21+K21)/(F21-K21))</f>
        <v>-0.83105022831050224</v>
      </c>
      <c r="AR21" s="1036">
        <f>IF(ISNUMBER((Datos!P21-Datos!Q21)/(Datos!R21-Datos!P21+Datos!Q21)),(Datos!P21-Datos!Q21)/(Datos!R21-Datos!P21+Datos!Q21)," - ")</f>
        <v>-1.0700389105058366E-2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124.13030787576955</v>
      </c>
      <c r="G23" s="258">
        <f>IF(ISNUMBER(STDEV(G8:G20)),STDEV(G8:G20),"-")</f>
        <v>119.7301131712486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95.701097172394014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14.320148975016521</v>
      </c>
      <c r="AJ23" s="257">
        <f t="shared" si="20"/>
        <v>0</v>
      </c>
      <c r="AK23" s="259">
        <f t="shared" si="20"/>
        <v>0</v>
      </c>
      <c r="AL23" s="254">
        <f t="shared" si="20"/>
        <v>0.73167089802803054</v>
      </c>
      <c r="AM23" s="255">
        <f t="shared" si="20"/>
        <v>4.4801515833038987</v>
      </c>
      <c r="AN23" s="255">
        <f t="shared" si="20"/>
        <v>0.11272163056724065</v>
      </c>
      <c r="AO23" s="256">
        <f t="shared" si="20"/>
        <v>1.4933838611012995</v>
      </c>
      <c r="AP23" s="296" t="str">
        <f t="shared" si="20"/>
        <v>-</v>
      </c>
      <c r="AQ23" s="297">
        <f t="shared" si="20"/>
        <v>0.59305730035000759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QRfYYLJxJh9lDxNUbdpVTHBgidsdCcZ6eDdH5NhUJstOD85wlPRRyWwr/ThfcOTR7tY4C48TTnXDtkgDmGTHg==" saltValue="egP9ijLvMeEDstN6PbEu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LLERENA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v>
      </c>
      <c r="F10" s="358">
        <f>IF(ISNUMBER((Datos!K10-Datos!U10)/Datos!U10),(Datos!K10-Datos!U10)/Datos!U10," - ")</f>
        <v>-1</v>
      </c>
      <c r="G10" s="359">
        <f>IF(ISNUMBER((Datos!L10-Datos!V10)/Datos!V10),(Datos!L10-Datos!V10)/Datos!V10," - ")</f>
        <v>2</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-0.52459016393442626</v>
      </c>
      <c r="I12" s="360">
        <f>IF(ISNUMBER((Tasas!C12-Datos!BE12)/Datos!BE12),(Tasas!C12-Datos!BE12)/Datos!BE12," - ")</f>
        <v>1.8401263055623023</v>
      </c>
      <c r="J12" s="359">
        <f>IF(ISNUMBER((Tasas!D12-Datos!BF12)/Datos!BF12),(Tasas!D12-Datos!BF12)/Datos!BF12," - ")</f>
        <v>-0.34995169082125605</v>
      </c>
      <c r="K12" s="361">
        <f>IF(ISNUMBER((Tasas!E12-Datos!BG12)/Datos!BG12),(Tasas!E12-Datos!BG12)/Datos!BG12," - ")</f>
        <v>1.1165512159174649</v>
      </c>
      <c r="M12" t="e">
        <f>IF(Monitorios="SI",Datos!CE12,0)</f>
        <v>#REF!</v>
      </c>
      <c r="N12" t="e">
        <f>IF(Monitorios="SI",Datos!CF12,0)</f>
        <v>#REF!</v>
      </c>
      <c r="O12" t="e">
        <f>IF(Monitorios="SI",Datos!CG12,0)</f>
        <v>#REF!</v>
      </c>
      <c r="P12" t="e">
        <f>IF(Monitorios="SI",Datos!CH12,0)</f>
        <v>#REF!</v>
      </c>
      <c r="Q12">
        <f>IF(J_V="SI",0,Datos!AG12)</f>
        <v>25</v>
      </c>
      <c r="R12">
        <f>IF(J_V="SI",0,Datos!AH12)</f>
        <v>28</v>
      </c>
      <c r="S12">
        <f>IF(J_V="SI",0,Datos!AI12)</f>
        <v>26</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-0.532258064516129</v>
      </c>
      <c r="I14" s="367">
        <f>IF(ISNUMBER((Tasas!C14-Datos!BE14)/Datos!BE14),(Tasas!C14-Datos!BE14)/Datos!BE14," - ")</f>
        <v>1.861354002664406</v>
      </c>
      <c r="J14" s="365">
        <f>IF(ISNUMBER((Tasas!D14-Datos!BF14)/Datos!BF14),(Tasas!D14-Datos!BF14)/Datos!BF14," - ")</f>
        <v>-0.35432393693263264</v>
      </c>
      <c r="K14" s="368">
        <f>IF(ISNUMBER((Tasas!E14-Datos!BG14)/Datos!BG14),(Tasas!E14-Datos!BG14)/Datos!BG14," - ")</f>
        <v>1.1287602820211518</v>
      </c>
      <c r="M14" t="e">
        <f>IF(Monitorios="SI",Datos!CE14,0)</f>
        <v>#REF!</v>
      </c>
      <c r="N14" t="e">
        <f>IF(Monitorios="SI",Datos!CF14,0)</f>
        <v>#REF!</v>
      </c>
      <c r="O14" t="e">
        <f>IF(Monitorios="SI",Datos!CG14,0)</f>
        <v>#REF!</v>
      </c>
      <c r="P14" t="e">
        <f>IF(Monitorios="SI",Datos!CH14,0)</f>
        <v>#REF!</v>
      </c>
      <c r="Q14">
        <f>IF(J_V="SI",0,Datos!AG14)</f>
        <v>25</v>
      </c>
      <c r="R14">
        <f>IF(J_V="SI",0,Datos!AH14)</f>
        <v>28</v>
      </c>
      <c r="S14">
        <f>IF(J_V="SI",0,Datos!AI14)</f>
        <v>26</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1.0092592592592593</v>
      </c>
      <c r="E17" s="358">
        <f>IF(ISNUMBER(
   IF(D_I="SI",(Datos!J17-Datos!T17)/Datos!T17,(Datos!J17+Datos!AD17-(Datos!T17+Datos!AL17))/(Datos!T17+Datos!AL17))
     ),IF(D_I="SI",(Datos!J17-Datos!T17)/Datos!T17,(Datos!J17+Datos!AD17-(Datos!T17+Datos!AL17))/(Datos!T17+Datos!AL17))," - ")</f>
        <v>-0.11552346570397112</v>
      </c>
      <c r="F17" s="358">
        <f>IF(ISNUMBER(
   IF(D_I="SI",(Datos!K17-Datos!U17)/Datos!U17,(Datos!K17+Datos!AE17-(Datos!U17+Datos!AM17))/(Datos!U17+Datos!AM17))
     ),IF(D_I="SI",(Datos!K17-Datos!U17)/Datos!U17,(Datos!K17+Datos!AE17-(Datos!U17+Datos!AM17))/(Datos!U17+Datos!AM17))," - ")</f>
        <v>-0.38652482269503546</v>
      </c>
      <c r="G17" s="359">
        <f>IF(ISNUMBER(
   IF(D_I="SI",(Datos!L17-Datos!V17)/Datos!V17,(Datos!L17+Datos!AF17-(Datos!V17+Datos!AN17))/(Datos!V17+Datos!AN17))
     ),IF(D_I="SI",(Datos!L17-Datos!V17)/Datos!V17,(Datos!L17+Datos!AF17-(Datos!V17+Datos!AN17))/(Datos!V17+Datos!AN17))," - ")</f>
        <v>1.7009345794392523</v>
      </c>
      <c r="H17" s="235">
        <f>IF(ISNUMBER((Datos!M17-Datos!W17)/Datos!W17),(Datos!M17-Datos!W17)/Datos!W17," - ")</f>
        <v>0.4</v>
      </c>
      <c r="I17" s="360">
        <f>IF(ISNUMBER((Tasas!C17-Datos!BE17)/Datos!BE17),(Tasas!C17-Datos!BE17)/Datos!BE17," - ")</f>
        <v>3.4026794878720765</v>
      </c>
      <c r="J17" s="359">
        <f>IF(ISNUMBER((Tasas!D17-Datos!BF17)/Datos!BF17),(Tasas!D17-Datos!BF17)/Datos!BF17," - ")</f>
        <v>1.2820809248554912</v>
      </c>
      <c r="K17" s="361">
        <f>IF(ISNUMBER((Tasas!E17-Datos!BG17)/Datos!BG17),(Tasas!E17-Datos!BG17)/Datos!BG17," - ")</f>
        <v>0.95606936416184973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1.5</v>
      </c>
      <c r="E18" s="358">
        <f>IF(ISNUMBER(
   IF(D_I="SI",(Datos!J18-Datos!T18)/Datos!T18,(Datos!J18+Datos!AD18-(Datos!T18+Datos!AL18))/(Datos!T18+Datos!AL18))
     ),IF(D_I="SI",(Datos!J18-Datos!T18)/Datos!T18,(Datos!J18+Datos!AD18-(Datos!T18+Datos!AL18))/(Datos!T18+Datos!AL18))," - ")</f>
        <v>-0.30769230769230771</v>
      </c>
      <c r="F18" s="358">
        <f>IF(ISNUMBER(
   IF(D_I="SI",(Datos!K18-Datos!U18)/Datos!U18,(Datos!K18+Datos!AE18-(Datos!U18+Datos!AM18))/(Datos!U18+Datos!AM18))
     ),IF(D_I="SI",(Datos!K18-Datos!U18)/Datos!U18,(Datos!K18+Datos!AE18-(Datos!U18+Datos!AM18))/(Datos!U18+Datos!AM18))," - ")</f>
        <v>-0.18181818181818182</v>
      </c>
      <c r="G18" s="359">
        <f>IF(ISNUMBER(
   IF(D_I="SI",(Datos!L18-Datos!V18)/Datos!V18,(Datos!L18+Datos!AF18-(Datos!V18+Datos!AN18))/(Datos!V18+Datos!AN18))
     ),IF(D_I="SI",(Datos!L18-Datos!V18)/Datos!V18,(Datos!L18+Datos!AF18-(Datos!V18+Datos!AN18))/(Datos!V18+Datos!AN18))," - ")</f>
        <v>0.875</v>
      </c>
      <c r="H18" s="235">
        <f>IF(ISNUMBER((Datos!M18-Datos!W18)/Datos!W18),(Datos!M18-Datos!W18)/Datos!W18," - ")</f>
        <v>0.33333333333333331</v>
      </c>
      <c r="I18" s="360">
        <f>IF(ISNUMBER((Tasas!C18-Datos!BE18)/Datos!BE18),(Tasas!C18-Datos!BE18)/Datos!BE18," - ")</f>
        <v>1.2916666666666667</v>
      </c>
      <c r="J18" s="359">
        <f>IF(ISNUMBER((Tasas!D18-Datos!BF18)/Datos!BF18),(Tasas!D18-Datos!BF18)/Datos!BF18," - ")</f>
        <v>0.62962962962962965</v>
      </c>
      <c r="K18" s="361">
        <f>IF(ISNUMBER((Tasas!E18-Datos!BG18)/Datos!BG18),(Tasas!E18-Datos!BG18)/Datos!BG18," - ")</f>
        <v>0.54385964912280693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1.0350877192982457</v>
      </c>
      <c r="E20" s="364">
        <f>IF(ISNUMBER(
   IF(D_I="SI",(Datos!J20-Datos!T20)/Datos!T20,(Datos!J20+Datos!AD20-(Datos!T20+Datos!AL20))/(Datos!T20+Datos!AL20))
     ),IF(D_I="SI",(Datos!J20-Datos!T20)/Datos!T20,(Datos!J20+Datos!AD20-(Datos!T20+Datos!AL20))/(Datos!T20+Datos!AL20))," - ")</f>
        <v>-0.12413793103448276</v>
      </c>
      <c r="F20" s="364">
        <f>IF(ISNUMBER(
   IF(D_I="SI",(Datos!K20-Datos!U20)/Datos!U20,(Datos!K20+Datos!AE20-(Datos!U20+Datos!AM20))/(Datos!U20+Datos!AM20))
     ),IF(D_I="SI",(Datos!K20-Datos!U20)/Datos!U20,(Datos!K20+Datos!AE20-(Datos!U20+Datos!AM20))/(Datos!U20+Datos!AM20))," - ")</f>
        <v>-0.37883959044368598</v>
      </c>
      <c r="G20" s="365">
        <f>IF(ISNUMBER(
   IF(D_I="SI",(Datos!L20-Datos!V20)/Datos!V20,(Datos!L20+Datos!AF20-(Datos!V20+Datos!AN20))/(Datos!V20+Datos!AN20))
     ),IF(D_I="SI",(Datos!L20-Datos!V20)/Datos!V20,(Datos!L20+Datos!AF20-(Datos!V20+Datos!AN20))/(Datos!V20+Datos!AN20))," - ")</f>
        <v>1.6434782608695653</v>
      </c>
      <c r="H20" s="366">
        <f>IF(ISNUMBER((Datos!M20-Datos!W20)/Datos!W20),(Datos!M20-Datos!W20)/Datos!W20," - ")</f>
        <v>0.39130434782608697</v>
      </c>
      <c r="I20" s="367">
        <f>IF(ISNUMBER((Tasas!C20-Datos!BE20)/Datos!BE20),(Tasas!C20-Datos!BE20)/Datos!BE20," - ")</f>
        <v>3.2557095078834206</v>
      </c>
      <c r="J20" s="365">
        <f>IF(ISNUMBER((Tasas!D20-Datos!BF20)/Datos!BF20),(Tasas!D20-Datos!BF20)/Datos!BF20," - ")</f>
        <v>1.2398471094123269</v>
      </c>
      <c r="K20" s="368">
        <f>IF(ISNUMBER((Tasas!E20-Datos!BG20)/Datos!BG20),(Tasas!E20-Datos!BG20)/Datos!BG20," - ")</f>
        <v>0.93664998367968644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0.40674955595026641</v>
      </c>
      <c r="E21" s="373">
        <f>IF(ISNUMBER(
   IF(J_V="SI",(Datos!J21-Datos!T21)/Datos!T21,(Datos!J21+Datos!Z21-(Datos!T21+Datos!AH21))/(Datos!T21+Datos!AH21))
     ),IF(J_V="SI",(Datos!J21-Datos!T21)/Datos!T21,(Datos!J21+Datos!Z21-(Datos!T21+Datos!AH21))/(Datos!T21+Datos!AH21))," - ")</f>
        <v>-0.2702078521939954</v>
      </c>
      <c r="F21" s="373">
        <f>IF(ISNUMBER(
   IF(J_V="SI",(Datos!K21-Datos!U21)/Datos!U21,(Datos!K21+Datos!AA21-(Datos!U21+Datos!AI21))/(Datos!U21+Datos!AI21))
     ),IF(J_V="SI",(Datos!K21-Datos!U21)/Datos!U21,(Datos!K21+Datos!AA21-(Datos!U21+Datos!AI21))/(Datos!U21+Datos!AI21))," - ")</f>
        <v>-0.43536121673003803</v>
      </c>
      <c r="G21" s="374">
        <f>IF(ISNUMBER(
   IF(J_V="SI",(Datos!L21-Datos!V21)/Datos!V21,(Datos!L21+Datos!AB21-(Datos!V21+Datos!AJ21))/(Datos!V21+Datos!AJ21))
     ),IF(J_V="SI",(Datos!L21-Datos!V21)/Datos!V21,(Datos!L21+Datos!AB21-(Datos!V21+Datos!AJ21))/(Datos!V21+Datos!AJ21))," - ")</f>
        <v>0.71097046413502107</v>
      </c>
      <c r="H21" s="375">
        <f>IF(ISNUMBER((Datos!M21-Datos!W21)/Datos!W21),(Datos!M21-Datos!W21)/Datos!W21," - ")</f>
        <v>-0.28235294117647058</v>
      </c>
      <c r="I21" s="372">
        <f>IF(ISNUMBER((Tasas!C21-Datos!BE21)/Datos!BE21),(Tasas!C21-Datos!BE21)/Datos!BE21," - ")</f>
        <v>2.0302035829461986</v>
      </c>
      <c r="J21" s="373">
        <f>IF(ISNUMBER((Tasas!D21-Datos!BF21)/Datos!BF21),(Tasas!D21-Datos!BF21)/Datos!BF21," - ")</f>
        <v>-5.2336227774824197E-2</v>
      </c>
      <c r="K21" s="374">
        <f>IF(ISNUMBER((Tasas!E21-Datos!BG21)/Datos!BG21),(Tasas!E21-Datos!BG21)/Datos!BG21," - ")</f>
        <v>0.97019728746636369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0.24306273103968487</v>
      </c>
      <c r="E23" s="283">
        <f t="shared" si="1"/>
        <v>0.12718940446472859</v>
      </c>
      <c r="F23" s="283">
        <f t="shared" si="1"/>
        <v>0.35501113154419206</v>
      </c>
      <c r="G23" s="284">
        <f t="shared" si="1"/>
        <v>0.47942681677655125</v>
      </c>
      <c r="H23" s="290">
        <f t="shared" si="1"/>
        <v>0.60628171785033635</v>
      </c>
      <c r="I23" s="282">
        <f t="shared" si="1"/>
        <v>0.94145105067628543</v>
      </c>
      <c r="J23" s="283">
        <f t="shared" si="1"/>
        <v>0.81048744413622198</v>
      </c>
      <c r="K23" s="284">
        <f t="shared" si="1"/>
        <v>0.23660716902847986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eTO4TMmbEzUENyNRIDEkw95uAbHtNfEwRC3unlxrU7kE/N86beEOdzXacY1e81q6L8W2uMy9STRuHglu6bGMA==" saltValue="F56RlRwGbGxiypz/N4arn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